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560" tabRatio="900" activeTab="3"/>
  </bookViews>
  <sheets>
    <sheet name="Note" sheetId="82" r:id="rId1"/>
    <sheet name="Cost MOF" sheetId="62" r:id="rId2"/>
    <sheet name="Capex" sheetId="57" r:id="rId3"/>
    <sheet name="Other" sheetId="22" r:id="rId4"/>
    <sheet name="TL" sheetId="23" r:id="rId5"/>
    <sheet name="Stock WC" sheetId="61" r:id="rId6"/>
    <sheet name="PL" sheetId="21" r:id="rId7"/>
    <sheet name="BS" sheetId="69" r:id="rId8"/>
    <sheet name="CF" sheetId="68" r:id="rId9"/>
    <sheet name="FI" sheetId="29" r:id="rId10"/>
    <sheet name="Grain" sheetId="81" r:id="rId11"/>
    <sheet name="F&amp;V " sheetId="83" state="hidden" r:id="rId12"/>
    <sheet name="F1" sheetId="55" r:id="rId13"/>
    <sheet name="F2" sheetId="72" r:id="rId14"/>
    <sheet name="F3" sheetId="42" r:id="rId15"/>
    <sheet name="F4" sheetId="48" r:id="rId16"/>
    <sheet name="F5" sheetId="53" state="hidden" r:id="rId17"/>
    <sheet name="F6" sheetId="84" state="hidden" r:id="rId18"/>
    <sheet name="1" sheetId="86" r:id="rId19"/>
    <sheet name="2" sheetId="87" r:id="rId20"/>
    <sheet name="3" sheetId="88" r:id="rId21"/>
    <sheet name="4" sheetId="89" r:id="rId22"/>
    <sheet name="Prod aggr" sheetId="92" r:id="rId23"/>
    <sheet name="6" sheetId="90" r:id="rId24"/>
    <sheet name="7" sheetId="91" r:id="rId25"/>
    <sheet name="8" sheetId="93" r:id="rId26"/>
    <sheet name="9" sheetId="94" r:id="rId27"/>
    <sheet name="10" sheetId="95" r:id="rId28"/>
    <sheet name="11" sheetId="96" r:id="rId29"/>
    <sheet name="12" sheetId="97" r:id="rId30"/>
    <sheet name="13" sheetId="98" r:id="rId31"/>
    <sheet name="14" sheetId="99" r:id="rId32"/>
    <sheet name="Sheet1" sheetId="104" r:id="rId33"/>
    <sheet name="14 (2)" sheetId="101" r:id="rId34"/>
    <sheet name="14 (3)" sheetId="102" r:id="rId35"/>
    <sheet name="15" sheetId="100" r:id="rId36"/>
    <sheet name="exp per kg" sheetId="103" r:id="rId37"/>
  </sheets>
  <externalReferences>
    <externalReference r:id="rId38"/>
    <externalReference r:id="rId39"/>
    <externalReference r:id="rId40"/>
  </externalReferences>
  <definedNames>
    <definedName name="_Toc71708223" localSheetId="18">'1'!$B$3</definedName>
    <definedName name="_Toc71708227" localSheetId="26">'9'!$B$1</definedName>
    <definedName name="_xlnm.Print_Area" localSheetId="7">BS!$A$1:$I$50</definedName>
    <definedName name="_xlnm.Print_Area" localSheetId="2">Capex!$A$1:$H$124</definedName>
    <definedName name="_xlnm.Print_Area" localSheetId="8">CF!$A$1:$J$38</definedName>
    <definedName name="_xlnm.Print_Area" localSheetId="1">'Cost MOF'!$A$1:$G$35</definedName>
    <definedName name="_xlnm.Print_Area" localSheetId="11">'F&amp;V '!$A$1:$Z$127</definedName>
    <definedName name="_xlnm.Print_Area" localSheetId="12">'F1'!$A$1:$J$306</definedName>
    <definedName name="_xlnm.Print_Area" localSheetId="13">'F2'!$A$3:$J$215</definedName>
    <definedName name="_xlnm.Print_Area" localSheetId="14">'F3'!$A$1:$K$43</definedName>
    <definedName name="_xlnm.Print_Area" localSheetId="15">'F4'!$A$1:$U$50</definedName>
    <definedName name="_xlnm.Print_Area" localSheetId="16">'F5'!$A$1:$J$280</definedName>
    <definedName name="_xlnm.Print_Area" localSheetId="17">'F6'!$A$1:$J$192</definedName>
    <definedName name="_xlnm.Print_Area" localSheetId="9">FI!$B$1:$M$218</definedName>
    <definedName name="_xlnm.Print_Area" localSheetId="10">Grain!$A$1:$Z$121</definedName>
    <definedName name="_xlnm.Print_Area" localSheetId="3">Other!$A$1:$R$101</definedName>
    <definedName name="_xlnm.Print_Area" localSheetId="6">PL!$A$1:$I$50</definedName>
    <definedName name="_xlnm.Print_Area" localSheetId="5">'Stock WC'!$A$1:$L$59</definedName>
    <definedName name="_xlnm.Print_Area" localSheetId="4">TL!$A$1:$H$95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7" i="81" l="1"/>
  <c r="M47" i="81"/>
  <c r="N47" i="81"/>
  <c r="O47" i="81"/>
  <c r="P47" i="81"/>
  <c r="Q47" i="81"/>
  <c r="K47" i="81"/>
  <c r="L67" i="81"/>
  <c r="M67" i="81"/>
  <c r="N67" i="81"/>
  <c r="O67" i="81"/>
  <c r="P67" i="81"/>
  <c r="Q67" i="81"/>
  <c r="K67" i="81"/>
  <c r="D8" i="23" l="1"/>
  <c r="C16" i="23"/>
  <c r="C12" i="23"/>
  <c r="C13" i="23" s="1"/>
  <c r="C14" i="23" s="1"/>
  <c r="C15" i="23" s="1"/>
  <c r="C11" i="23"/>
  <c r="D10" i="23"/>
  <c r="C10" i="23"/>
  <c r="B27" i="69"/>
  <c r="E21" i="62"/>
  <c r="B34" i="69"/>
  <c r="B115" i="72" l="1"/>
  <c r="B29" i="55"/>
  <c r="B63" i="55"/>
  <c r="B86" i="55"/>
  <c r="B138" i="55"/>
  <c r="D196" i="55"/>
  <c r="B11" i="55"/>
  <c r="B68" i="55"/>
  <c r="B120" i="55"/>
  <c r="D178" i="55"/>
  <c r="B12" i="55"/>
  <c r="B69" i="55"/>
  <c r="B121" i="55"/>
  <c r="D179" i="55"/>
  <c r="B13" i="55"/>
  <c r="B70" i="55"/>
  <c r="B122" i="55"/>
  <c r="D180" i="55"/>
  <c r="B14" i="55"/>
  <c r="B71" i="55"/>
  <c r="B123" i="55"/>
  <c r="D181" i="55"/>
  <c r="B15" i="55"/>
  <c r="B72" i="55"/>
  <c r="B124" i="55"/>
  <c r="D182" i="55"/>
  <c r="B16" i="55"/>
  <c r="B73" i="55"/>
  <c r="B125" i="55"/>
  <c r="D183" i="55"/>
  <c r="B17" i="55"/>
  <c r="B74" i="55"/>
  <c r="B126" i="55"/>
  <c r="D184" i="55"/>
  <c r="B18" i="55"/>
  <c r="B75" i="55"/>
  <c r="B127" i="55"/>
  <c r="D185" i="55"/>
  <c r="B19" i="55"/>
  <c r="B76" i="55"/>
  <c r="B128" i="55"/>
  <c r="D186" i="55"/>
  <c r="B20" i="55"/>
  <c r="B77" i="55"/>
  <c r="B129" i="55"/>
  <c r="D187" i="55"/>
  <c r="B21" i="55"/>
  <c r="B78" i="55"/>
  <c r="B130" i="55"/>
  <c r="D188" i="55"/>
  <c r="B22" i="55"/>
  <c r="B79" i="55"/>
  <c r="B131" i="55"/>
  <c r="D189" i="55"/>
  <c r="B23" i="55"/>
  <c r="B80" i="55"/>
  <c r="B132" i="55"/>
  <c r="D190" i="55"/>
  <c r="B24" i="55"/>
  <c r="B81" i="55"/>
  <c r="B133" i="55"/>
  <c r="D191" i="55"/>
  <c r="B25" i="55"/>
  <c r="B82" i="55"/>
  <c r="B134" i="55"/>
  <c r="D192" i="55"/>
  <c r="B26" i="55"/>
  <c r="B83" i="55"/>
  <c r="B135" i="55"/>
  <c r="D193" i="55"/>
  <c r="B27" i="55"/>
  <c r="B84" i="55"/>
  <c r="B136" i="55"/>
  <c r="D194" i="55"/>
  <c r="B28" i="55"/>
  <c r="B85" i="55"/>
  <c r="B137" i="55"/>
  <c r="D195" i="55"/>
  <c r="B139" i="55"/>
  <c r="D197" i="55"/>
  <c r="B31" i="55"/>
  <c r="B88" i="55"/>
  <c r="B140" i="55"/>
  <c r="D198" i="55"/>
  <c r="B32" i="55"/>
  <c r="B89" i="55"/>
  <c r="B141" i="55"/>
  <c r="D199" i="55"/>
  <c r="B51" i="55"/>
  <c r="B108" i="55"/>
  <c r="B160" i="55"/>
  <c r="D219" i="55"/>
  <c r="B52" i="55"/>
  <c r="B109" i="55"/>
  <c r="B161" i="55"/>
  <c r="D220" i="55"/>
  <c r="B162" i="55"/>
  <c r="D221" i="55"/>
  <c r="B163" i="55"/>
  <c r="D222" i="55"/>
  <c r="B164" i="55"/>
  <c r="D223" i="55"/>
  <c r="B56" i="55"/>
  <c r="B113" i="55"/>
  <c r="B165" i="55"/>
  <c r="D224" i="55"/>
  <c r="B57" i="55"/>
  <c r="B114" i="55"/>
  <c r="B166" i="55"/>
  <c r="D225" i="55"/>
  <c r="B58" i="55"/>
  <c r="B115" i="55"/>
  <c r="B167" i="55"/>
  <c r="D226" i="55"/>
  <c r="B59" i="55"/>
  <c r="B116" i="55"/>
  <c r="B168" i="55"/>
  <c r="D227" i="55"/>
  <c r="D229" i="55"/>
  <c r="C29" i="55"/>
  <c r="C86" i="55"/>
  <c r="C139" i="55"/>
  <c r="E172" i="55"/>
  <c r="E197" i="55"/>
  <c r="D29" i="55"/>
  <c r="D86" i="55"/>
  <c r="D139" i="55"/>
  <c r="F172" i="55"/>
  <c r="F197" i="55"/>
  <c r="E29" i="55"/>
  <c r="E86" i="55"/>
  <c r="E139" i="55"/>
  <c r="G172" i="55"/>
  <c r="G197" i="55"/>
  <c r="F29" i="55"/>
  <c r="F86" i="55"/>
  <c r="F139" i="55"/>
  <c r="H172" i="55"/>
  <c r="H197" i="55"/>
  <c r="G29" i="55"/>
  <c r="G86" i="55"/>
  <c r="G139" i="55"/>
  <c r="I172" i="55"/>
  <c r="I197" i="55"/>
  <c r="H29" i="55"/>
  <c r="H86" i="55"/>
  <c r="H139" i="55"/>
  <c r="J172" i="55"/>
  <c r="J197" i="55"/>
  <c r="C110" i="72"/>
  <c r="D110" i="72"/>
  <c r="E110" i="72"/>
  <c r="F110" i="72"/>
  <c r="G110" i="72"/>
  <c r="H110" i="72"/>
  <c r="C113" i="72"/>
  <c r="D113" i="72"/>
  <c r="E113" i="72"/>
  <c r="F113" i="72"/>
  <c r="G113" i="72"/>
  <c r="H113" i="72"/>
  <c r="B113" i="72"/>
  <c r="B110" i="72"/>
  <c r="C138" i="55"/>
  <c r="D138" i="55"/>
  <c r="E138" i="55"/>
  <c r="F138" i="55"/>
  <c r="G138" i="55"/>
  <c r="H138" i="55"/>
  <c r="E173" i="72"/>
  <c r="F173" i="72"/>
  <c r="G173" i="72"/>
  <c r="H173" i="72"/>
  <c r="I173" i="72"/>
  <c r="J173" i="72"/>
  <c r="D173" i="72"/>
  <c r="C114" i="72"/>
  <c r="C115" i="72"/>
  <c r="D114" i="72"/>
  <c r="D115" i="72"/>
  <c r="E114" i="72"/>
  <c r="E115" i="72"/>
  <c r="F114" i="72"/>
  <c r="F115" i="72"/>
  <c r="G114" i="72"/>
  <c r="G115" i="72"/>
  <c r="H114" i="72"/>
  <c r="H115" i="72"/>
  <c r="B114" i="72"/>
  <c r="E293" i="55"/>
  <c r="F293" i="55"/>
  <c r="G293" i="55"/>
  <c r="H293" i="55"/>
  <c r="I293" i="55"/>
  <c r="J293" i="55"/>
  <c r="D293" i="55"/>
  <c r="D292" i="55"/>
  <c r="D72" i="81"/>
  <c r="E72" i="81"/>
  <c r="F72" i="81"/>
  <c r="G72" i="81"/>
  <c r="H72" i="81"/>
  <c r="C72" i="81"/>
  <c r="E17" i="22"/>
  <c r="E16" i="22"/>
  <c r="E13" i="22"/>
  <c r="E12" i="22"/>
  <c r="E9" i="22"/>
  <c r="E8" i="22"/>
  <c r="E11" i="22"/>
  <c r="E10" i="22"/>
  <c r="F11" i="22"/>
  <c r="G11" i="22"/>
  <c r="H11" i="22"/>
  <c r="I11" i="22"/>
  <c r="J11" i="22"/>
  <c r="K11" i="22"/>
  <c r="B9" i="81"/>
  <c r="C33" i="81"/>
  <c r="D35" i="81"/>
  <c r="F35" i="81"/>
  <c r="H35" i="81"/>
  <c r="C67" i="81"/>
  <c r="E251" i="55"/>
  <c r="B67" i="81"/>
  <c r="D251" i="55"/>
  <c r="D284" i="55"/>
  <c r="D19" i="81"/>
  <c r="F19" i="81"/>
  <c r="H19" i="81"/>
  <c r="B54" i="81"/>
  <c r="D238" i="55"/>
  <c r="D20" i="81"/>
  <c r="F20" i="81"/>
  <c r="H20" i="81"/>
  <c r="B55" i="81"/>
  <c r="D239" i="55"/>
  <c r="C24" i="81"/>
  <c r="D27" i="81"/>
  <c r="F27" i="81"/>
  <c r="H27" i="81"/>
  <c r="B60" i="81"/>
  <c r="D244" i="55"/>
  <c r="D30" i="81"/>
  <c r="F30" i="81"/>
  <c r="H30" i="81"/>
  <c r="B63" i="81"/>
  <c r="D247" i="55"/>
  <c r="D31" i="81"/>
  <c r="F31" i="81"/>
  <c r="H31" i="81"/>
  <c r="B64" i="81"/>
  <c r="D248" i="55"/>
  <c r="D32" i="81"/>
  <c r="F32" i="81"/>
  <c r="H32" i="81"/>
  <c r="B65" i="81"/>
  <c r="D249" i="55"/>
  <c r="D36" i="81"/>
  <c r="F36" i="81"/>
  <c r="H36" i="81"/>
  <c r="B68" i="81"/>
  <c r="B30" i="55"/>
  <c r="B87" i="55"/>
  <c r="D252" i="55"/>
  <c r="D37" i="81"/>
  <c r="F37" i="81"/>
  <c r="H37" i="81"/>
  <c r="B69" i="81"/>
  <c r="B33" i="55"/>
  <c r="B10" i="55"/>
  <c r="D282" i="55"/>
  <c r="D233" i="55"/>
  <c r="D234" i="55"/>
  <c r="D235" i="55"/>
  <c r="D236" i="55"/>
  <c r="D237" i="55"/>
  <c r="D240" i="55"/>
  <c r="D241" i="55"/>
  <c r="D242" i="55"/>
  <c r="D243" i="55"/>
  <c r="D245" i="55"/>
  <c r="D246" i="55"/>
  <c r="D250" i="55"/>
  <c r="D273" i="55"/>
  <c r="D274" i="55"/>
  <c r="D275" i="55"/>
  <c r="D276" i="55"/>
  <c r="D277" i="55"/>
  <c r="D278" i="55"/>
  <c r="E284" i="55"/>
  <c r="C54" i="81"/>
  <c r="C16" i="55"/>
  <c r="C63" i="55"/>
  <c r="C73" i="55"/>
  <c r="E238" i="55"/>
  <c r="C55" i="81"/>
  <c r="C17" i="55"/>
  <c r="C74" i="55"/>
  <c r="E239" i="55"/>
  <c r="C60" i="81"/>
  <c r="C22" i="55"/>
  <c r="C79" i="55"/>
  <c r="E244" i="55"/>
  <c r="C63" i="81"/>
  <c r="C25" i="55"/>
  <c r="C82" i="55"/>
  <c r="E247" i="55"/>
  <c r="C64" i="81"/>
  <c r="C26" i="55"/>
  <c r="C83" i="55"/>
  <c r="E248" i="55"/>
  <c r="C65" i="81"/>
  <c r="C27" i="55"/>
  <c r="C84" i="55"/>
  <c r="E249" i="55"/>
  <c r="C68" i="81"/>
  <c r="C30" i="55"/>
  <c r="C87" i="55"/>
  <c r="E252" i="55"/>
  <c r="C69" i="81"/>
  <c r="C31" i="55"/>
  <c r="C11" i="55"/>
  <c r="C12" i="55"/>
  <c r="C13" i="55"/>
  <c r="C14" i="55"/>
  <c r="C15" i="55"/>
  <c r="C18" i="55"/>
  <c r="C19" i="55"/>
  <c r="C20" i="55"/>
  <c r="C21" i="55"/>
  <c r="C23" i="55"/>
  <c r="C24" i="55"/>
  <c r="C28" i="55"/>
  <c r="C32" i="55"/>
  <c r="C33" i="55"/>
  <c r="C10" i="55"/>
  <c r="E282" i="55"/>
  <c r="C68" i="55"/>
  <c r="E233" i="55"/>
  <c r="C69" i="55"/>
  <c r="E234" i="55"/>
  <c r="C70" i="55"/>
  <c r="E235" i="55"/>
  <c r="C71" i="55"/>
  <c r="E236" i="55"/>
  <c r="C72" i="55"/>
  <c r="E237" i="55"/>
  <c r="C75" i="55"/>
  <c r="E240" i="55"/>
  <c r="C76" i="55"/>
  <c r="E241" i="55"/>
  <c r="C77" i="55"/>
  <c r="E242" i="55"/>
  <c r="C78" i="55"/>
  <c r="E243" i="55"/>
  <c r="C80" i="55"/>
  <c r="E245" i="55"/>
  <c r="C81" i="55"/>
  <c r="E246" i="55"/>
  <c r="C85" i="55"/>
  <c r="E250" i="55"/>
  <c r="C51" i="55"/>
  <c r="C108" i="55"/>
  <c r="E273" i="55"/>
  <c r="C52" i="55"/>
  <c r="C109" i="55"/>
  <c r="E274" i="55"/>
  <c r="C56" i="55"/>
  <c r="C113" i="55"/>
  <c r="E275" i="55"/>
  <c r="C57" i="55"/>
  <c r="C114" i="55"/>
  <c r="E276" i="55"/>
  <c r="C58" i="55"/>
  <c r="C115" i="55"/>
  <c r="E277" i="55"/>
  <c r="C59" i="55"/>
  <c r="C116" i="55"/>
  <c r="E278" i="55"/>
  <c r="E285" i="55"/>
  <c r="B80" i="81"/>
  <c r="C80" i="81"/>
  <c r="C17" i="72"/>
  <c r="C31" i="72"/>
  <c r="C32" i="72"/>
  <c r="C41" i="72"/>
  <c r="B92" i="81"/>
  <c r="C92" i="81"/>
  <c r="C29" i="72"/>
  <c r="C53" i="72"/>
  <c r="E166" i="72"/>
  <c r="E185" i="72"/>
  <c r="C75" i="81"/>
  <c r="C12" i="72"/>
  <c r="C36" i="72"/>
  <c r="E186" i="72"/>
  <c r="B79" i="81"/>
  <c r="C79" i="81"/>
  <c r="C16" i="72"/>
  <c r="C40" i="72"/>
  <c r="E187" i="72"/>
  <c r="C77" i="81"/>
  <c r="C14" i="72"/>
  <c r="C38" i="72"/>
  <c r="E188" i="72"/>
  <c r="E189" i="72"/>
  <c r="D14" i="81"/>
  <c r="F14" i="81"/>
  <c r="H14" i="81"/>
  <c r="B74" i="81"/>
  <c r="C74" i="81"/>
  <c r="C11" i="72"/>
  <c r="C76" i="81"/>
  <c r="C13" i="72"/>
  <c r="C78" i="81"/>
  <c r="C15" i="72"/>
  <c r="C81" i="81"/>
  <c r="C18" i="72"/>
  <c r="C82" i="81"/>
  <c r="C19" i="72"/>
  <c r="C83" i="81"/>
  <c r="C20" i="72"/>
  <c r="C84" i="81"/>
  <c r="C21" i="72"/>
  <c r="B85" i="81"/>
  <c r="C85" i="81"/>
  <c r="C22" i="72"/>
  <c r="C86" i="81"/>
  <c r="C23" i="72"/>
  <c r="C87" i="81"/>
  <c r="C24" i="72"/>
  <c r="B88" i="81"/>
  <c r="C88" i="81"/>
  <c r="C25" i="72"/>
  <c r="B89" i="81"/>
  <c r="C89" i="81"/>
  <c r="C26" i="72"/>
  <c r="B90" i="81"/>
  <c r="C90" i="81"/>
  <c r="C27" i="72"/>
  <c r="C91" i="81"/>
  <c r="C28" i="72"/>
  <c r="C30" i="72"/>
  <c r="C10" i="72"/>
  <c r="E190" i="72"/>
  <c r="E192" i="72"/>
  <c r="C116" i="72"/>
  <c r="E193" i="72"/>
  <c r="E194" i="72"/>
  <c r="B17" i="72"/>
  <c r="B32" i="72"/>
  <c r="B41" i="72"/>
  <c r="B29" i="72"/>
  <c r="B53" i="72"/>
  <c r="D185" i="72"/>
  <c r="B16" i="72"/>
  <c r="B40" i="72"/>
  <c r="D187" i="72"/>
  <c r="D189" i="72"/>
  <c r="B11" i="72"/>
  <c r="B22" i="72"/>
  <c r="B25" i="72"/>
  <c r="B26" i="72"/>
  <c r="B27" i="72"/>
  <c r="B12" i="72"/>
  <c r="B13" i="72"/>
  <c r="B14" i="72"/>
  <c r="B15" i="72"/>
  <c r="B18" i="72"/>
  <c r="B19" i="72"/>
  <c r="B20" i="72"/>
  <c r="B21" i="72"/>
  <c r="B23" i="72"/>
  <c r="B24" i="72"/>
  <c r="B28" i="72"/>
  <c r="B30" i="72"/>
  <c r="B10" i="72"/>
  <c r="D190" i="72"/>
  <c r="D192" i="72"/>
  <c r="B116" i="72"/>
  <c r="D193" i="72"/>
  <c r="B36" i="72"/>
  <c r="D186" i="72"/>
  <c r="B38" i="72"/>
  <c r="D188" i="72"/>
  <c r="D67" i="81"/>
  <c r="F251" i="55"/>
  <c r="F284" i="55"/>
  <c r="D54" i="81"/>
  <c r="D16" i="55"/>
  <c r="D73" i="55"/>
  <c r="F238" i="55"/>
  <c r="D55" i="81"/>
  <c r="D17" i="55"/>
  <c r="D74" i="55"/>
  <c r="F239" i="55"/>
  <c r="D60" i="81"/>
  <c r="D22" i="55"/>
  <c r="D79" i="55"/>
  <c r="F244" i="55"/>
  <c r="D63" i="81"/>
  <c r="D25" i="55"/>
  <c r="D82" i="55"/>
  <c r="F247" i="55"/>
  <c r="D64" i="81"/>
  <c r="D26" i="55"/>
  <c r="D83" i="55"/>
  <c r="F248" i="55"/>
  <c r="D65" i="81"/>
  <c r="D27" i="55"/>
  <c r="D84" i="55"/>
  <c r="F249" i="55"/>
  <c r="D68" i="81"/>
  <c r="D30" i="55"/>
  <c r="D87" i="55"/>
  <c r="F252" i="55"/>
  <c r="D69" i="81"/>
  <c r="D31" i="55"/>
  <c r="D11" i="55"/>
  <c r="D12" i="55"/>
  <c r="D13" i="55"/>
  <c r="D14" i="55"/>
  <c r="D15" i="55"/>
  <c r="D18" i="55"/>
  <c r="D19" i="55"/>
  <c r="D20" i="55"/>
  <c r="D21" i="55"/>
  <c r="D23" i="55"/>
  <c r="D24" i="55"/>
  <c r="D28" i="55"/>
  <c r="D32" i="55"/>
  <c r="D33" i="55"/>
  <c r="D10" i="55"/>
  <c r="F282" i="55"/>
  <c r="D68" i="55"/>
  <c r="F233" i="55"/>
  <c r="D69" i="55"/>
  <c r="F234" i="55"/>
  <c r="D70" i="55"/>
  <c r="F235" i="55"/>
  <c r="D71" i="55"/>
  <c r="F236" i="55"/>
  <c r="D72" i="55"/>
  <c r="F237" i="55"/>
  <c r="D75" i="55"/>
  <c r="F240" i="55"/>
  <c r="D76" i="55"/>
  <c r="F241" i="55"/>
  <c r="D77" i="55"/>
  <c r="F242" i="55"/>
  <c r="D78" i="55"/>
  <c r="F243" i="55"/>
  <c r="D80" i="55"/>
  <c r="F245" i="55"/>
  <c r="D81" i="55"/>
  <c r="F246" i="55"/>
  <c r="D85" i="55"/>
  <c r="F250" i="55"/>
  <c r="D51" i="55"/>
  <c r="D108" i="55"/>
  <c r="F273" i="55"/>
  <c r="D52" i="55"/>
  <c r="D109" i="55"/>
  <c r="F274" i="55"/>
  <c r="D56" i="55"/>
  <c r="D113" i="55"/>
  <c r="F275" i="55"/>
  <c r="D57" i="55"/>
  <c r="D114" i="55"/>
  <c r="F276" i="55"/>
  <c r="D58" i="55"/>
  <c r="D115" i="55"/>
  <c r="F277" i="55"/>
  <c r="D59" i="55"/>
  <c r="D116" i="55"/>
  <c r="F278" i="55"/>
  <c r="F285" i="55"/>
  <c r="D80" i="81"/>
  <c r="D17" i="72"/>
  <c r="D31" i="72"/>
  <c r="D32" i="72"/>
  <c r="D41" i="72"/>
  <c r="D92" i="81"/>
  <c r="D29" i="72"/>
  <c r="D53" i="72"/>
  <c r="F166" i="72"/>
  <c r="F185" i="72"/>
  <c r="D75" i="81"/>
  <c r="D12" i="72"/>
  <c r="D36" i="72"/>
  <c r="F186" i="72"/>
  <c r="D79" i="81"/>
  <c r="D16" i="72"/>
  <c r="D40" i="72"/>
  <c r="F187" i="72"/>
  <c r="D77" i="81"/>
  <c r="D14" i="72"/>
  <c r="D38" i="72"/>
  <c r="F188" i="72"/>
  <c r="F189" i="72"/>
  <c r="D74" i="81"/>
  <c r="D11" i="72"/>
  <c r="D76" i="81"/>
  <c r="D13" i="72"/>
  <c r="D78" i="81"/>
  <c r="D15" i="72"/>
  <c r="D81" i="81"/>
  <c r="D18" i="72"/>
  <c r="D82" i="81"/>
  <c r="D19" i="72"/>
  <c r="D83" i="81"/>
  <c r="D20" i="72"/>
  <c r="D84" i="81"/>
  <c r="D21" i="72"/>
  <c r="D85" i="81"/>
  <c r="D22" i="72"/>
  <c r="D86" i="81"/>
  <c r="D23" i="72"/>
  <c r="D87" i="81"/>
  <c r="D24" i="72"/>
  <c r="D88" i="81"/>
  <c r="D25" i="72"/>
  <c r="D89" i="81"/>
  <c r="D26" i="72"/>
  <c r="D90" i="81"/>
  <c r="D27" i="72"/>
  <c r="D91" i="81"/>
  <c r="D28" i="72"/>
  <c r="D30" i="72"/>
  <c r="D10" i="72"/>
  <c r="F190" i="72"/>
  <c r="F192" i="72"/>
  <c r="D116" i="72"/>
  <c r="F193" i="72"/>
  <c r="F194" i="72"/>
  <c r="E67" i="81"/>
  <c r="G251" i="55"/>
  <c r="G284" i="55"/>
  <c r="E11" i="55"/>
  <c r="E12" i="55"/>
  <c r="E13" i="55"/>
  <c r="E14" i="55"/>
  <c r="E15" i="55"/>
  <c r="E16" i="55"/>
  <c r="E17" i="55"/>
  <c r="E18" i="55"/>
  <c r="E19" i="55"/>
  <c r="E20" i="55"/>
  <c r="E21" i="55"/>
  <c r="E22" i="55"/>
  <c r="E23" i="55"/>
  <c r="E24" i="55"/>
  <c r="E25" i="55"/>
  <c r="E26" i="55"/>
  <c r="E27" i="55"/>
  <c r="E28" i="55"/>
  <c r="E30" i="55"/>
  <c r="E31" i="55"/>
  <c r="E32" i="55"/>
  <c r="E33" i="55"/>
  <c r="E10" i="55"/>
  <c r="G282" i="55"/>
  <c r="E68" i="55"/>
  <c r="G233" i="55"/>
  <c r="E69" i="55"/>
  <c r="G234" i="55"/>
  <c r="E70" i="55"/>
  <c r="G235" i="55"/>
  <c r="E71" i="55"/>
  <c r="G236" i="55"/>
  <c r="E72" i="55"/>
  <c r="G237" i="55"/>
  <c r="E73" i="55"/>
  <c r="G238" i="55"/>
  <c r="E74" i="55"/>
  <c r="G239" i="55"/>
  <c r="E75" i="55"/>
  <c r="G240" i="55"/>
  <c r="E76" i="55"/>
  <c r="G241" i="55"/>
  <c r="E77" i="55"/>
  <c r="G242" i="55"/>
  <c r="E78" i="55"/>
  <c r="G243" i="55"/>
  <c r="E79" i="55"/>
  <c r="G244" i="55"/>
  <c r="E80" i="55"/>
  <c r="G245" i="55"/>
  <c r="E81" i="55"/>
  <c r="G246" i="55"/>
  <c r="E82" i="55"/>
  <c r="G247" i="55"/>
  <c r="E83" i="55"/>
  <c r="G248" i="55"/>
  <c r="E84" i="55"/>
  <c r="G249" i="55"/>
  <c r="E85" i="55"/>
  <c r="G250" i="55"/>
  <c r="E87" i="55"/>
  <c r="G252" i="55"/>
  <c r="E51" i="55"/>
  <c r="E108" i="55"/>
  <c r="G273" i="55"/>
  <c r="E52" i="55"/>
  <c r="E109" i="55"/>
  <c r="G274" i="55"/>
  <c r="E56" i="55"/>
  <c r="E113" i="55"/>
  <c r="G275" i="55"/>
  <c r="E57" i="55"/>
  <c r="E114" i="55"/>
  <c r="G276" i="55"/>
  <c r="E58" i="55"/>
  <c r="E115" i="55"/>
  <c r="G277" i="55"/>
  <c r="E59" i="55"/>
  <c r="E116" i="55"/>
  <c r="G278" i="55"/>
  <c r="G285" i="55"/>
  <c r="E80" i="81"/>
  <c r="E17" i="72"/>
  <c r="E31" i="72"/>
  <c r="E32" i="72"/>
  <c r="E41" i="72"/>
  <c r="E92" i="81"/>
  <c r="E29" i="72"/>
  <c r="E53" i="72"/>
  <c r="G166" i="72"/>
  <c r="G185" i="72"/>
  <c r="E75" i="81"/>
  <c r="E12" i="72"/>
  <c r="E36" i="72"/>
  <c r="G186" i="72"/>
  <c r="E79" i="81"/>
  <c r="E16" i="72"/>
  <c r="E40" i="72"/>
  <c r="G187" i="72"/>
  <c r="E77" i="81"/>
  <c r="E14" i="72"/>
  <c r="E38" i="72"/>
  <c r="G188" i="72"/>
  <c r="G189" i="72"/>
  <c r="E74" i="81"/>
  <c r="E11" i="72"/>
  <c r="E76" i="81"/>
  <c r="E13" i="72"/>
  <c r="E78" i="81"/>
  <c r="E15" i="72"/>
  <c r="E81" i="81"/>
  <c r="E18" i="72"/>
  <c r="E82" i="81"/>
  <c r="E19" i="72"/>
  <c r="E83" i="81"/>
  <c r="E20" i="72"/>
  <c r="E84" i="81"/>
  <c r="E21" i="72"/>
  <c r="E85" i="81"/>
  <c r="E22" i="72"/>
  <c r="E86" i="81"/>
  <c r="E23" i="72"/>
  <c r="E87" i="81"/>
  <c r="E24" i="72"/>
  <c r="E88" i="81"/>
  <c r="E25" i="72"/>
  <c r="E89" i="81"/>
  <c r="E26" i="72"/>
  <c r="E90" i="81"/>
  <c r="E27" i="72"/>
  <c r="E91" i="81"/>
  <c r="E28" i="72"/>
  <c r="E30" i="72"/>
  <c r="E10" i="72"/>
  <c r="G190" i="72"/>
  <c r="G192" i="72"/>
  <c r="E116" i="72"/>
  <c r="G193" i="72"/>
  <c r="G194" i="72"/>
  <c r="F67" i="81"/>
  <c r="H251" i="55"/>
  <c r="H284" i="55"/>
  <c r="F11" i="55"/>
  <c r="F12" i="55"/>
  <c r="F13" i="55"/>
  <c r="F14" i="55"/>
  <c r="F15" i="55"/>
  <c r="F16" i="55"/>
  <c r="F17" i="55"/>
  <c r="F18" i="55"/>
  <c r="F19" i="55"/>
  <c r="F20" i="55"/>
  <c r="F21" i="55"/>
  <c r="F22" i="55"/>
  <c r="F23" i="55"/>
  <c r="F24" i="55"/>
  <c r="F25" i="55"/>
  <c r="F26" i="55"/>
  <c r="F27" i="55"/>
  <c r="F28" i="55"/>
  <c r="F30" i="55"/>
  <c r="F31" i="55"/>
  <c r="F32" i="55"/>
  <c r="F33" i="55"/>
  <c r="F10" i="55"/>
  <c r="H282" i="55"/>
  <c r="F68" i="55"/>
  <c r="H233" i="55"/>
  <c r="F69" i="55"/>
  <c r="H234" i="55"/>
  <c r="F70" i="55"/>
  <c r="H235" i="55"/>
  <c r="F71" i="55"/>
  <c r="H236" i="55"/>
  <c r="F72" i="55"/>
  <c r="H237" i="55"/>
  <c r="F73" i="55"/>
  <c r="H238" i="55"/>
  <c r="F74" i="55"/>
  <c r="H239" i="55"/>
  <c r="F75" i="55"/>
  <c r="H240" i="55"/>
  <c r="F76" i="55"/>
  <c r="H241" i="55"/>
  <c r="F77" i="55"/>
  <c r="H242" i="55"/>
  <c r="F78" i="55"/>
  <c r="H243" i="55"/>
  <c r="F79" i="55"/>
  <c r="H244" i="55"/>
  <c r="F80" i="55"/>
  <c r="H245" i="55"/>
  <c r="F81" i="55"/>
  <c r="H246" i="55"/>
  <c r="F82" i="55"/>
  <c r="H247" i="55"/>
  <c r="F83" i="55"/>
  <c r="H248" i="55"/>
  <c r="F84" i="55"/>
  <c r="H249" i="55"/>
  <c r="F85" i="55"/>
  <c r="H250" i="55"/>
  <c r="F87" i="55"/>
  <c r="H252" i="55"/>
  <c r="F51" i="55"/>
  <c r="F108" i="55"/>
  <c r="H273" i="55"/>
  <c r="F52" i="55"/>
  <c r="F109" i="55"/>
  <c r="H274" i="55"/>
  <c r="F56" i="55"/>
  <c r="F113" i="55"/>
  <c r="H275" i="55"/>
  <c r="F57" i="55"/>
  <c r="F114" i="55"/>
  <c r="H276" i="55"/>
  <c r="F58" i="55"/>
  <c r="F115" i="55"/>
  <c r="H277" i="55"/>
  <c r="F59" i="55"/>
  <c r="F116" i="55"/>
  <c r="H278" i="55"/>
  <c r="H285" i="55"/>
  <c r="F80" i="81"/>
  <c r="F17" i="72"/>
  <c r="F31" i="72"/>
  <c r="F32" i="72"/>
  <c r="F41" i="72"/>
  <c r="F92" i="81"/>
  <c r="F29" i="72"/>
  <c r="F53" i="72"/>
  <c r="H166" i="72"/>
  <c r="H185" i="72"/>
  <c r="F75" i="81"/>
  <c r="F12" i="72"/>
  <c r="F36" i="72"/>
  <c r="H186" i="72"/>
  <c r="F79" i="81"/>
  <c r="F16" i="72"/>
  <c r="F40" i="72"/>
  <c r="H187" i="72"/>
  <c r="F77" i="81"/>
  <c r="F14" i="72"/>
  <c r="F38" i="72"/>
  <c r="H188" i="72"/>
  <c r="H189" i="72"/>
  <c r="F74" i="81"/>
  <c r="F11" i="72"/>
  <c r="F76" i="81"/>
  <c r="F13" i="72"/>
  <c r="F78" i="81"/>
  <c r="F15" i="72"/>
  <c r="F81" i="81"/>
  <c r="F18" i="72"/>
  <c r="F82" i="81"/>
  <c r="F19" i="72"/>
  <c r="F83" i="81"/>
  <c r="F20" i="72"/>
  <c r="F84" i="81"/>
  <c r="F21" i="72"/>
  <c r="F85" i="81"/>
  <c r="F22" i="72"/>
  <c r="F86" i="81"/>
  <c r="F23" i="72"/>
  <c r="F87" i="81"/>
  <c r="F24" i="72"/>
  <c r="F88" i="81"/>
  <c r="F25" i="72"/>
  <c r="F89" i="81"/>
  <c r="F26" i="72"/>
  <c r="F90" i="81"/>
  <c r="F27" i="72"/>
  <c r="F91" i="81"/>
  <c r="F28" i="72"/>
  <c r="F30" i="72"/>
  <c r="F10" i="72"/>
  <c r="H190" i="72"/>
  <c r="H192" i="72"/>
  <c r="F116" i="72"/>
  <c r="H193" i="72"/>
  <c r="H194" i="72"/>
  <c r="G67" i="81"/>
  <c r="I251" i="55"/>
  <c r="I284" i="55"/>
  <c r="G11" i="55"/>
  <c r="G12" i="55"/>
  <c r="G13" i="55"/>
  <c r="G14" i="55"/>
  <c r="G15" i="55"/>
  <c r="G16" i="55"/>
  <c r="G17" i="55"/>
  <c r="G18" i="55"/>
  <c r="G19" i="55"/>
  <c r="G20" i="55"/>
  <c r="G21" i="55"/>
  <c r="G22" i="55"/>
  <c r="G23" i="55"/>
  <c r="G24" i="55"/>
  <c r="G25" i="55"/>
  <c r="G26" i="55"/>
  <c r="G27" i="55"/>
  <c r="G28" i="55"/>
  <c r="G30" i="55"/>
  <c r="G31" i="55"/>
  <c r="G32" i="55"/>
  <c r="G33" i="55"/>
  <c r="G10" i="55"/>
  <c r="I282" i="55"/>
  <c r="G68" i="55"/>
  <c r="I233" i="55"/>
  <c r="G69" i="55"/>
  <c r="I234" i="55"/>
  <c r="G70" i="55"/>
  <c r="I235" i="55"/>
  <c r="G71" i="55"/>
  <c r="I236" i="55"/>
  <c r="G72" i="55"/>
  <c r="I237" i="55"/>
  <c r="G73" i="55"/>
  <c r="I238" i="55"/>
  <c r="G74" i="55"/>
  <c r="I239" i="55"/>
  <c r="G75" i="55"/>
  <c r="I240" i="55"/>
  <c r="G76" i="55"/>
  <c r="I241" i="55"/>
  <c r="G77" i="55"/>
  <c r="I242" i="55"/>
  <c r="G78" i="55"/>
  <c r="I243" i="55"/>
  <c r="G79" i="55"/>
  <c r="I244" i="55"/>
  <c r="G80" i="55"/>
  <c r="I245" i="55"/>
  <c r="G81" i="55"/>
  <c r="I246" i="55"/>
  <c r="G82" i="55"/>
  <c r="I247" i="55"/>
  <c r="G83" i="55"/>
  <c r="I248" i="55"/>
  <c r="G84" i="55"/>
  <c r="I249" i="55"/>
  <c r="G85" i="55"/>
  <c r="I250" i="55"/>
  <c r="G87" i="55"/>
  <c r="I252" i="55"/>
  <c r="G51" i="55"/>
  <c r="G108" i="55"/>
  <c r="I273" i="55"/>
  <c r="G52" i="55"/>
  <c r="G109" i="55"/>
  <c r="I274" i="55"/>
  <c r="G56" i="55"/>
  <c r="G113" i="55"/>
  <c r="I275" i="55"/>
  <c r="G57" i="55"/>
  <c r="G114" i="55"/>
  <c r="I276" i="55"/>
  <c r="G58" i="55"/>
  <c r="G115" i="55"/>
  <c r="I277" i="55"/>
  <c r="G59" i="55"/>
  <c r="G116" i="55"/>
  <c r="I278" i="55"/>
  <c r="I285" i="55"/>
  <c r="G80" i="81"/>
  <c r="G17" i="72"/>
  <c r="G31" i="72"/>
  <c r="G32" i="72"/>
  <c r="G41" i="72"/>
  <c r="G92" i="81"/>
  <c r="G29" i="72"/>
  <c r="G53" i="72"/>
  <c r="I166" i="72"/>
  <c r="I185" i="72"/>
  <c r="G75" i="81"/>
  <c r="G12" i="72"/>
  <c r="G36" i="72"/>
  <c r="I186" i="72"/>
  <c r="G79" i="81"/>
  <c r="G16" i="72"/>
  <c r="G40" i="72"/>
  <c r="I187" i="72"/>
  <c r="G77" i="81"/>
  <c r="G14" i="72"/>
  <c r="G38" i="72"/>
  <c r="I188" i="72"/>
  <c r="I189" i="72"/>
  <c r="G74" i="81"/>
  <c r="G11" i="72"/>
  <c r="G76" i="81"/>
  <c r="G13" i="72"/>
  <c r="G78" i="81"/>
  <c r="G15" i="72"/>
  <c r="G81" i="81"/>
  <c r="G18" i="72"/>
  <c r="G82" i="81"/>
  <c r="G19" i="72"/>
  <c r="G83" i="81"/>
  <c r="G20" i="72"/>
  <c r="G84" i="81"/>
  <c r="G21" i="72"/>
  <c r="G85" i="81"/>
  <c r="G22" i="72"/>
  <c r="G86" i="81"/>
  <c r="G23" i="72"/>
  <c r="G87" i="81"/>
  <c r="G24" i="72"/>
  <c r="G88" i="81"/>
  <c r="G25" i="72"/>
  <c r="G89" i="81"/>
  <c r="G26" i="72"/>
  <c r="G90" i="81"/>
  <c r="G27" i="72"/>
  <c r="G91" i="81"/>
  <c r="G28" i="72"/>
  <c r="G30" i="72"/>
  <c r="G10" i="72"/>
  <c r="I190" i="72"/>
  <c r="I192" i="72"/>
  <c r="G116" i="72"/>
  <c r="I193" i="72"/>
  <c r="I194" i="72"/>
  <c r="H67" i="81"/>
  <c r="J251" i="55"/>
  <c r="J284" i="55"/>
  <c r="H11" i="55"/>
  <c r="H12" i="55"/>
  <c r="H13" i="55"/>
  <c r="H14" i="55"/>
  <c r="H15" i="55"/>
  <c r="H16" i="55"/>
  <c r="H17" i="55"/>
  <c r="H18" i="55"/>
  <c r="H19" i="55"/>
  <c r="H20" i="55"/>
  <c r="H21" i="55"/>
  <c r="H22" i="55"/>
  <c r="H23" i="55"/>
  <c r="H24" i="55"/>
  <c r="H25" i="55"/>
  <c r="H26" i="55"/>
  <c r="H27" i="55"/>
  <c r="H28" i="55"/>
  <c r="H30" i="55"/>
  <c r="H31" i="55"/>
  <c r="H32" i="55"/>
  <c r="H33" i="55"/>
  <c r="H10" i="55"/>
  <c r="J282" i="55"/>
  <c r="H68" i="55"/>
  <c r="J233" i="55"/>
  <c r="H69" i="55"/>
  <c r="J234" i="55"/>
  <c r="H70" i="55"/>
  <c r="J235" i="55"/>
  <c r="H71" i="55"/>
  <c r="J236" i="55"/>
  <c r="H72" i="55"/>
  <c r="J237" i="55"/>
  <c r="H73" i="55"/>
  <c r="J238" i="55"/>
  <c r="H74" i="55"/>
  <c r="J239" i="55"/>
  <c r="H75" i="55"/>
  <c r="J240" i="55"/>
  <c r="H76" i="55"/>
  <c r="J241" i="55"/>
  <c r="H77" i="55"/>
  <c r="J242" i="55"/>
  <c r="H78" i="55"/>
  <c r="J243" i="55"/>
  <c r="H79" i="55"/>
  <c r="J244" i="55"/>
  <c r="H80" i="55"/>
  <c r="J245" i="55"/>
  <c r="H81" i="55"/>
  <c r="J246" i="55"/>
  <c r="H82" i="55"/>
  <c r="J247" i="55"/>
  <c r="H83" i="55"/>
  <c r="J248" i="55"/>
  <c r="H84" i="55"/>
  <c r="J249" i="55"/>
  <c r="H85" i="55"/>
  <c r="J250" i="55"/>
  <c r="H87" i="55"/>
  <c r="J252" i="55"/>
  <c r="H51" i="55"/>
  <c r="H108" i="55"/>
  <c r="J273" i="55"/>
  <c r="H52" i="55"/>
  <c r="H109" i="55"/>
  <c r="J274" i="55"/>
  <c r="H56" i="55"/>
  <c r="H113" i="55"/>
  <c r="J275" i="55"/>
  <c r="H57" i="55"/>
  <c r="H114" i="55"/>
  <c r="J276" i="55"/>
  <c r="H58" i="55"/>
  <c r="H115" i="55"/>
  <c r="J277" i="55"/>
  <c r="H59" i="55"/>
  <c r="H116" i="55"/>
  <c r="J278" i="55"/>
  <c r="J285" i="55"/>
  <c r="H80" i="81"/>
  <c r="H17" i="72"/>
  <c r="H31" i="72"/>
  <c r="H32" i="72"/>
  <c r="H41" i="72"/>
  <c r="H92" i="81"/>
  <c r="H29" i="72"/>
  <c r="H53" i="72"/>
  <c r="J166" i="72"/>
  <c r="J185" i="72"/>
  <c r="H75" i="81"/>
  <c r="H12" i="72"/>
  <c r="H36" i="72"/>
  <c r="J186" i="72"/>
  <c r="H79" i="81"/>
  <c r="H16" i="72"/>
  <c r="H40" i="72"/>
  <c r="J187" i="72"/>
  <c r="H77" i="81"/>
  <c r="H14" i="72"/>
  <c r="H38" i="72"/>
  <c r="J188" i="72"/>
  <c r="J189" i="72"/>
  <c r="H74" i="81"/>
  <c r="H11" i="72"/>
  <c r="H76" i="81"/>
  <c r="H13" i="72"/>
  <c r="H78" i="81"/>
  <c r="H15" i="72"/>
  <c r="H81" i="81"/>
  <c r="H18" i="72"/>
  <c r="H82" i="81"/>
  <c r="H19" i="72"/>
  <c r="H83" i="81"/>
  <c r="H20" i="72"/>
  <c r="H84" i="81"/>
  <c r="H21" i="72"/>
  <c r="H85" i="81"/>
  <c r="H22" i="72"/>
  <c r="H86" i="81"/>
  <c r="H23" i="72"/>
  <c r="H87" i="81"/>
  <c r="H24" i="72"/>
  <c r="H88" i="81"/>
  <c r="H25" i="72"/>
  <c r="H89" i="81"/>
  <c r="H26" i="72"/>
  <c r="H90" i="81"/>
  <c r="H27" i="72"/>
  <c r="H91" i="81"/>
  <c r="H28" i="72"/>
  <c r="H30" i="72"/>
  <c r="H10" i="72"/>
  <c r="J190" i="72"/>
  <c r="J192" i="72"/>
  <c r="H116" i="72"/>
  <c r="J193" i="72"/>
  <c r="J194" i="72"/>
  <c r="D285" i="55"/>
  <c r="D194" i="72"/>
  <c r="E196" i="55"/>
  <c r="C125" i="55"/>
  <c r="E183" i="55"/>
  <c r="C126" i="55"/>
  <c r="E184" i="55"/>
  <c r="C131" i="55"/>
  <c r="E189" i="55"/>
  <c r="C134" i="55"/>
  <c r="E192" i="55"/>
  <c r="C135" i="55"/>
  <c r="E193" i="55"/>
  <c r="C136" i="55"/>
  <c r="E194" i="55"/>
  <c r="C88" i="55"/>
  <c r="C140" i="55"/>
  <c r="E198" i="55"/>
  <c r="C89" i="55"/>
  <c r="C141" i="55"/>
  <c r="E199" i="55"/>
  <c r="C160" i="55"/>
  <c r="E219" i="55"/>
  <c r="C161" i="55"/>
  <c r="E220" i="55"/>
  <c r="C162" i="55"/>
  <c r="E221" i="55"/>
  <c r="C163" i="55"/>
  <c r="E222" i="55"/>
  <c r="C164" i="55"/>
  <c r="E223" i="55"/>
  <c r="C165" i="55"/>
  <c r="E224" i="55"/>
  <c r="C166" i="55"/>
  <c r="E225" i="55"/>
  <c r="C167" i="55"/>
  <c r="E226" i="55"/>
  <c r="C168" i="55"/>
  <c r="E227" i="55"/>
  <c r="C120" i="55"/>
  <c r="E178" i="55"/>
  <c r="C121" i="55"/>
  <c r="E179" i="55"/>
  <c r="C122" i="55"/>
  <c r="E180" i="55"/>
  <c r="C123" i="55"/>
  <c r="E181" i="55"/>
  <c r="C124" i="55"/>
  <c r="E182" i="55"/>
  <c r="C127" i="55"/>
  <c r="E185" i="55"/>
  <c r="C128" i="55"/>
  <c r="E186" i="55"/>
  <c r="C129" i="55"/>
  <c r="E187" i="55"/>
  <c r="C130" i="55"/>
  <c r="E188" i="55"/>
  <c r="C132" i="55"/>
  <c r="E190" i="55"/>
  <c r="C133" i="55"/>
  <c r="E191" i="55"/>
  <c r="C137" i="55"/>
  <c r="E195" i="55"/>
  <c r="E229" i="55"/>
  <c r="F36" i="61"/>
  <c r="E172" i="72"/>
  <c r="C61" i="72"/>
  <c r="B61" i="72"/>
  <c r="C76" i="72"/>
  <c r="B76" i="72"/>
  <c r="E174" i="72"/>
  <c r="C68" i="72"/>
  <c r="B68" i="72"/>
  <c r="E175" i="72"/>
  <c r="C45" i="72"/>
  <c r="C93" i="72"/>
  <c r="E177" i="72"/>
  <c r="C33" i="72"/>
  <c r="E179" i="72"/>
  <c r="E181" i="72"/>
  <c r="F37" i="61"/>
  <c r="F196" i="55"/>
  <c r="D125" i="55"/>
  <c r="F183" i="55"/>
  <c r="D131" i="55"/>
  <c r="F189" i="55"/>
  <c r="D134" i="55"/>
  <c r="F192" i="55"/>
  <c r="D135" i="55"/>
  <c r="F193" i="55"/>
  <c r="D136" i="55"/>
  <c r="F194" i="55"/>
  <c r="D88" i="55"/>
  <c r="D140" i="55"/>
  <c r="F198" i="55"/>
  <c r="D89" i="55"/>
  <c r="D141" i="55"/>
  <c r="F199" i="55"/>
  <c r="D160" i="55"/>
  <c r="F219" i="55"/>
  <c r="D161" i="55"/>
  <c r="F220" i="55"/>
  <c r="D162" i="55"/>
  <c r="F221" i="55"/>
  <c r="D163" i="55"/>
  <c r="F222" i="55"/>
  <c r="D164" i="55"/>
  <c r="F223" i="55"/>
  <c r="D165" i="55"/>
  <c r="F224" i="55"/>
  <c r="D166" i="55"/>
  <c r="F225" i="55"/>
  <c r="D167" i="55"/>
  <c r="F226" i="55"/>
  <c r="D168" i="55"/>
  <c r="F227" i="55"/>
  <c r="D120" i="55"/>
  <c r="F178" i="55"/>
  <c r="D121" i="55"/>
  <c r="F179" i="55"/>
  <c r="D122" i="55"/>
  <c r="F180" i="55"/>
  <c r="D123" i="55"/>
  <c r="F181" i="55"/>
  <c r="D124" i="55"/>
  <c r="F182" i="55"/>
  <c r="D127" i="55"/>
  <c r="F185" i="55"/>
  <c r="D128" i="55"/>
  <c r="F186" i="55"/>
  <c r="D129" i="55"/>
  <c r="F187" i="55"/>
  <c r="D130" i="55"/>
  <c r="F188" i="55"/>
  <c r="D132" i="55"/>
  <c r="F190" i="55"/>
  <c r="D133" i="55"/>
  <c r="F191" i="55"/>
  <c r="D137" i="55"/>
  <c r="F195" i="55"/>
  <c r="F229" i="55"/>
  <c r="G36" i="61"/>
  <c r="F172" i="72"/>
  <c r="D61" i="72"/>
  <c r="D76" i="72"/>
  <c r="F174" i="72"/>
  <c r="D68" i="72"/>
  <c r="F175" i="72"/>
  <c r="D45" i="72"/>
  <c r="D93" i="72"/>
  <c r="F177" i="72"/>
  <c r="D33" i="72"/>
  <c r="F179" i="72"/>
  <c r="F181" i="72"/>
  <c r="G37" i="61"/>
  <c r="G196" i="55"/>
  <c r="E125" i="55"/>
  <c r="G183" i="55"/>
  <c r="E131" i="55"/>
  <c r="G189" i="55"/>
  <c r="E134" i="55"/>
  <c r="G192" i="55"/>
  <c r="E135" i="55"/>
  <c r="G193" i="55"/>
  <c r="E136" i="55"/>
  <c r="G194" i="55"/>
  <c r="E88" i="55"/>
  <c r="E140" i="55"/>
  <c r="G198" i="55"/>
  <c r="E89" i="55"/>
  <c r="E141" i="55"/>
  <c r="G199" i="55"/>
  <c r="E160" i="55"/>
  <c r="G219" i="55"/>
  <c r="E161" i="55"/>
  <c r="G220" i="55"/>
  <c r="E162" i="55"/>
  <c r="G221" i="55"/>
  <c r="E163" i="55"/>
  <c r="G222" i="55"/>
  <c r="E164" i="55"/>
  <c r="G223" i="55"/>
  <c r="E165" i="55"/>
  <c r="G224" i="55"/>
  <c r="E166" i="55"/>
  <c r="G225" i="55"/>
  <c r="E167" i="55"/>
  <c r="G226" i="55"/>
  <c r="E168" i="55"/>
  <c r="G227" i="55"/>
  <c r="E120" i="55"/>
  <c r="G178" i="55"/>
  <c r="E121" i="55"/>
  <c r="G179" i="55"/>
  <c r="E122" i="55"/>
  <c r="G180" i="55"/>
  <c r="E123" i="55"/>
  <c r="G181" i="55"/>
  <c r="E124" i="55"/>
  <c r="G182" i="55"/>
  <c r="E127" i="55"/>
  <c r="G185" i="55"/>
  <c r="E128" i="55"/>
  <c r="G186" i="55"/>
  <c r="E129" i="55"/>
  <c r="G187" i="55"/>
  <c r="E130" i="55"/>
  <c r="G188" i="55"/>
  <c r="E132" i="55"/>
  <c r="G190" i="55"/>
  <c r="E133" i="55"/>
  <c r="G191" i="55"/>
  <c r="E137" i="55"/>
  <c r="G195" i="55"/>
  <c r="G229" i="55"/>
  <c r="H36" i="61"/>
  <c r="G172" i="72"/>
  <c r="E61" i="72"/>
  <c r="E76" i="72"/>
  <c r="G174" i="72"/>
  <c r="E68" i="72"/>
  <c r="G175" i="72"/>
  <c r="E45" i="72"/>
  <c r="E93" i="72"/>
  <c r="G177" i="72"/>
  <c r="E33" i="72"/>
  <c r="G179" i="72"/>
  <c r="G181" i="72"/>
  <c r="H37" i="61"/>
  <c r="H196" i="55"/>
  <c r="F88" i="55"/>
  <c r="F140" i="55"/>
  <c r="H198" i="55"/>
  <c r="F89" i="55"/>
  <c r="F141" i="55"/>
  <c r="H199" i="55"/>
  <c r="F160" i="55"/>
  <c r="H219" i="55"/>
  <c r="F161" i="55"/>
  <c r="H220" i="55"/>
  <c r="F162" i="55"/>
  <c r="H221" i="55"/>
  <c r="F163" i="55"/>
  <c r="H222" i="55"/>
  <c r="F164" i="55"/>
  <c r="H223" i="55"/>
  <c r="F165" i="55"/>
  <c r="H224" i="55"/>
  <c r="F166" i="55"/>
  <c r="H225" i="55"/>
  <c r="F167" i="55"/>
  <c r="H226" i="55"/>
  <c r="F168" i="55"/>
  <c r="H227" i="55"/>
  <c r="F120" i="55"/>
  <c r="H178" i="55"/>
  <c r="F121" i="55"/>
  <c r="H179" i="55"/>
  <c r="F122" i="55"/>
  <c r="H180" i="55"/>
  <c r="F123" i="55"/>
  <c r="H181" i="55"/>
  <c r="F124" i="55"/>
  <c r="H182" i="55"/>
  <c r="F125" i="55"/>
  <c r="H183" i="55"/>
  <c r="F127" i="55"/>
  <c r="H185" i="55"/>
  <c r="F128" i="55"/>
  <c r="H186" i="55"/>
  <c r="F129" i="55"/>
  <c r="H187" i="55"/>
  <c r="F130" i="55"/>
  <c r="H188" i="55"/>
  <c r="F131" i="55"/>
  <c r="H189" i="55"/>
  <c r="F132" i="55"/>
  <c r="H190" i="55"/>
  <c r="F133" i="55"/>
  <c r="H191" i="55"/>
  <c r="F134" i="55"/>
  <c r="H192" i="55"/>
  <c r="F135" i="55"/>
  <c r="H193" i="55"/>
  <c r="F136" i="55"/>
  <c r="H194" i="55"/>
  <c r="F137" i="55"/>
  <c r="H195" i="55"/>
  <c r="H229" i="55"/>
  <c r="I36" i="61"/>
  <c r="H172" i="72"/>
  <c r="F61" i="72"/>
  <c r="F76" i="72"/>
  <c r="H174" i="72"/>
  <c r="F68" i="72"/>
  <c r="H175" i="72"/>
  <c r="F45" i="72"/>
  <c r="F93" i="72"/>
  <c r="H177" i="72"/>
  <c r="F33" i="72"/>
  <c r="H179" i="72"/>
  <c r="H181" i="72"/>
  <c r="I37" i="61"/>
  <c r="I196" i="55"/>
  <c r="G88" i="55"/>
  <c r="G140" i="55"/>
  <c r="I198" i="55"/>
  <c r="G89" i="55"/>
  <c r="G141" i="55"/>
  <c r="I199" i="55"/>
  <c r="G160" i="55"/>
  <c r="I219" i="55"/>
  <c r="G161" i="55"/>
  <c r="I220" i="55"/>
  <c r="G162" i="55"/>
  <c r="I221" i="55"/>
  <c r="G163" i="55"/>
  <c r="I222" i="55"/>
  <c r="G164" i="55"/>
  <c r="I223" i="55"/>
  <c r="G165" i="55"/>
  <c r="I224" i="55"/>
  <c r="G166" i="55"/>
  <c r="I225" i="55"/>
  <c r="G167" i="55"/>
  <c r="I226" i="55"/>
  <c r="G168" i="55"/>
  <c r="I227" i="55"/>
  <c r="G120" i="55"/>
  <c r="I178" i="55"/>
  <c r="G121" i="55"/>
  <c r="I179" i="55"/>
  <c r="G122" i="55"/>
  <c r="I180" i="55"/>
  <c r="G123" i="55"/>
  <c r="I181" i="55"/>
  <c r="G124" i="55"/>
  <c r="I182" i="55"/>
  <c r="G125" i="55"/>
  <c r="I183" i="55"/>
  <c r="G127" i="55"/>
  <c r="I185" i="55"/>
  <c r="G128" i="55"/>
  <c r="I186" i="55"/>
  <c r="G129" i="55"/>
  <c r="I187" i="55"/>
  <c r="G130" i="55"/>
  <c r="I188" i="55"/>
  <c r="G131" i="55"/>
  <c r="I189" i="55"/>
  <c r="G132" i="55"/>
  <c r="I190" i="55"/>
  <c r="G133" i="55"/>
  <c r="I191" i="55"/>
  <c r="G134" i="55"/>
  <c r="I192" i="55"/>
  <c r="G135" i="55"/>
  <c r="I193" i="55"/>
  <c r="G136" i="55"/>
  <c r="I194" i="55"/>
  <c r="G137" i="55"/>
  <c r="I195" i="55"/>
  <c r="I229" i="55"/>
  <c r="J36" i="61"/>
  <c r="I172" i="72"/>
  <c r="G61" i="72"/>
  <c r="G76" i="72"/>
  <c r="I174" i="72"/>
  <c r="G68" i="72"/>
  <c r="I175" i="72"/>
  <c r="G45" i="72"/>
  <c r="G93" i="72"/>
  <c r="I177" i="72"/>
  <c r="G33" i="72"/>
  <c r="I179" i="72"/>
  <c r="I181" i="72"/>
  <c r="J37" i="61"/>
  <c r="J196" i="55"/>
  <c r="H88" i="55"/>
  <c r="H140" i="55"/>
  <c r="J198" i="55"/>
  <c r="H89" i="55"/>
  <c r="H141" i="55"/>
  <c r="J199" i="55"/>
  <c r="H160" i="55"/>
  <c r="J219" i="55"/>
  <c r="H161" i="55"/>
  <c r="J220" i="55"/>
  <c r="H162" i="55"/>
  <c r="J221" i="55"/>
  <c r="H163" i="55"/>
  <c r="J222" i="55"/>
  <c r="H164" i="55"/>
  <c r="J223" i="55"/>
  <c r="H165" i="55"/>
  <c r="J224" i="55"/>
  <c r="H166" i="55"/>
  <c r="J225" i="55"/>
  <c r="H167" i="55"/>
  <c r="J226" i="55"/>
  <c r="H168" i="55"/>
  <c r="J227" i="55"/>
  <c r="H120" i="55"/>
  <c r="J178" i="55"/>
  <c r="H121" i="55"/>
  <c r="J179" i="55"/>
  <c r="H122" i="55"/>
  <c r="J180" i="55"/>
  <c r="H123" i="55"/>
  <c r="J181" i="55"/>
  <c r="H124" i="55"/>
  <c r="J182" i="55"/>
  <c r="H125" i="55"/>
  <c r="J183" i="55"/>
  <c r="H127" i="55"/>
  <c r="J185" i="55"/>
  <c r="H128" i="55"/>
  <c r="J186" i="55"/>
  <c r="H129" i="55"/>
  <c r="J187" i="55"/>
  <c r="H130" i="55"/>
  <c r="J188" i="55"/>
  <c r="H131" i="55"/>
  <c r="J189" i="55"/>
  <c r="H132" i="55"/>
  <c r="J190" i="55"/>
  <c r="H133" i="55"/>
  <c r="J191" i="55"/>
  <c r="H134" i="55"/>
  <c r="J192" i="55"/>
  <c r="H135" i="55"/>
  <c r="J193" i="55"/>
  <c r="H136" i="55"/>
  <c r="J194" i="55"/>
  <c r="H137" i="55"/>
  <c r="J195" i="55"/>
  <c r="J229" i="55"/>
  <c r="K36" i="61"/>
  <c r="J172" i="72"/>
  <c r="H61" i="72"/>
  <c r="H76" i="72"/>
  <c r="J174" i="72"/>
  <c r="H68" i="72"/>
  <c r="J175" i="72"/>
  <c r="H45" i="72"/>
  <c r="H93" i="72"/>
  <c r="J177" i="72"/>
  <c r="H33" i="72"/>
  <c r="J179" i="72"/>
  <c r="J181" i="72"/>
  <c r="K37" i="61"/>
  <c r="E36" i="61"/>
  <c r="D172" i="72"/>
  <c r="D174" i="72"/>
  <c r="B45" i="72"/>
  <c r="B93" i="72"/>
  <c r="D177" i="72"/>
  <c r="B33" i="72"/>
  <c r="D179" i="72"/>
  <c r="D175" i="72"/>
  <c r="D181" i="72"/>
  <c r="E37" i="61"/>
  <c r="C32" i="68"/>
  <c r="D74" i="98" s="1"/>
  <c r="C5" i="21"/>
  <c r="E6" i="98" s="1"/>
  <c r="C6" i="21"/>
  <c r="C7" i="21"/>
  <c r="C9" i="21"/>
  <c r="D206" i="29" s="1"/>
  <c r="C10" i="21"/>
  <c r="D162" i="29" s="1"/>
  <c r="D5" i="21"/>
  <c r="D6" i="21"/>
  <c r="D7" i="21"/>
  <c r="E204" i="29" s="1"/>
  <c r="D9" i="21"/>
  <c r="F10" i="98" s="1"/>
  <c r="D10" i="21"/>
  <c r="E5" i="21"/>
  <c r="E6" i="21"/>
  <c r="G7" i="98" s="1"/>
  <c r="E7" i="21"/>
  <c r="F174" i="29" s="1"/>
  <c r="E9" i="21"/>
  <c r="E10" i="21"/>
  <c r="F5" i="21"/>
  <c r="G157" i="29" s="1"/>
  <c r="F6" i="21"/>
  <c r="G188" i="29" s="1"/>
  <c r="F7" i="21"/>
  <c r="F9" i="21"/>
  <c r="F10" i="21"/>
  <c r="G35" i="29" s="1"/>
  <c r="G5" i="21"/>
  <c r="I6" i="98" s="1"/>
  <c r="G6" i="21"/>
  <c r="G7" i="21"/>
  <c r="G9" i="21"/>
  <c r="H191" i="29" s="1"/>
  <c r="G10" i="21"/>
  <c r="H177" i="29" s="1"/>
  <c r="H5" i="21"/>
  <c r="H6" i="21"/>
  <c r="H7" i="21"/>
  <c r="I189" i="29" s="1"/>
  <c r="H9" i="21"/>
  <c r="I161" i="29" s="1"/>
  <c r="H10" i="21"/>
  <c r="G44" i="57"/>
  <c r="J44" i="57" s="1"/>
  <c r="F45" i="57"/>
  <c r="G45" i="57" s="1"/>
  <c r="G46" i="57"/>
  <c r="J46" i="57" s="1"/>
  <c r="G47" i="57"/>
  <c r="J47" i="57" s="1"/>
  <c r="G48" i="57"/>
  <c r="J48" i="57" s="1"/>
  <c r="G49" i="57"/>
  <c r="J49" i="57" s="1"/>
  <c r="G50" i="57"/>
  <c r="J50" i="57" s="1"/>
  <c r="G51" i="57"/>
  <c r="J51" i="57" s="1"/>
  <c r="G52" i="57"/>
  <c r="J52" i="57" s="1"/>
  <c r="G53" i="57"/>
  <c r="J53" i="57" s="1"/>
  <c r="G34" i="57"/>
  <c r="F41" i="57" s="1"/>
  <c r="G41" i="57" s="1"/>
  <c r="G35" i="57"/>
  <c r="G36" i="57"/>
  <c r="G37" i="57"/>
  <c r="G38" i="57"/>
  <c r="G39" i="57"/>
  <c r="G40" i="57"/>
  <c r="G19" i="57"/>
  <c r="G32" i="57" s="1"/>
  <c r="D21" i="102" s="1"/>
  <c r="G20" i="57"/>
  <c r="J20" i="57" s="1"/>
  <c r="G21" i="57"/>
  <c r="J21" i="57" s="1"/>
  <c r="G22" i="57"/>
  <c r="J22" i="57" s="1"/>
  <c r="G23" i="57"/>
  <c r="J23" i="57" s="1"/>
  <c r="G24" i="57"/>
  <c r="J24" i="57" s="1"/>
  <c r="G25" i="57"/>
  <c r="J25" i="57" s="1"/>
  <c r="G26" i="57"/>
  <c r="J26" i="57" s="1"/>
  <c r="G27" i="57"/>
  <c r="J27" i="57" s="1"/>
  <c r="G28" i="57"/>
  <c r="J28" i="57" s="1"/>
  <c r="G29" i="57"/>
  <c r="J29" i="57" s="1"/>
  <c r="G30" i="57"/>
  <c r="J30" i="57" s="1"/>
  <c r="G31" i="57"/>
  <c r="J31" i="57" s="1"/>
  <c r="E8" i="57"/>
  <c r="G8" i="57"/>
  <c r="E9" i="57"/>
  <c r="G9" i="57" s="1"/>
  <c r="F9" i="57" s="1"/>
  <c r="F106" i="57"/>
  <c r="F107" i="57"/>
  <c r="F108" i="57"/>
  <c r="F109" i="57"/>
  <c r="D9" i="62" s="1"/>
  <c r="C20" i="68" s="1"/>
  <c r="D63" i="98" s="1"/>
  <c r="D121" i="57"/>
  <c r="D10" i="62"/>
  <c r="C5" i="48"/>
  <c r="F5" i="48"/>
  <c r="H5" i="48" s="1"/>
  <c r="C21" i="48" s="1"/>
  <c r="F21" i="48" s="1"/>
  <c r="C6" i="48"/>
  <c r="F6" i="48" s="1"/>
  <c r="H6" i="48" s="1"/>
  <c r="C22" i="48" s="1"/>
  <c r="C7" i="48"/>
  <c r="F7" i="48" s="1"/>
  <c r="H7" i="48" s="1"/>
  <c r="C23" i="48" s="1"/>
  <c r="C8" i="48"/>
  <c r="F8" i="48" s="1"/>
  <c r="H8" i="48" s="1"/>
  <c r="C24" i="48" s="1"/>
  <c r="K24" i="48" s="1"/>
  <c r="C9" i="48"/>
  <c r="F9" i="48" s="1"/>
  <c r="H9" i="48" s="1"/>
  <c r="C10" i="48"/>
  <c r="F10" i="48" s="1"/>
  <c r="H10" i="48" s="1"/>
  <c r="C11" i="48"/>
  <c r="F11" i="48" s="1"/>
  <c r="H11" i="48" s="1"/>
  <c r="C27" i="48" s="1"/>
  <c r="C12" i="48"/>
  <c r="F12" i="48" s="1"/>
  <c r="H12" i="48" s="1"/>
  <c r="H42" i="57"/>
  <c r="B283" i="55" s="1"/>
  <c r="H54" i="57"/>
  <c r="B191" i="72" s="1"/>
  <c r="D191" i="72" s="1"/>
  <c r="E17" i="61" s="1"/>
  <c r="J7" i="48"/>
  <c r="J11" i="48"/>
  <c r="H64" i="57"/>
  <c r="B166" i="84"/>
  <c r="E166" i="84"/>
  <c r="E177" i="84" s="1"/>
  <c r="C19" i="21" s="1"/>
  <c r="C16" i="21"/>
  <c r="C18" i="21"/>
  <c r="F78" i="57"/>
  <c r="F79" i="57"/>
  <c r="F80" i="57"/>
  <c r="F81" i="57"/>
  <c r="F82" i="57"/>
  <c r="F83" i="57"/>
  <c r="F84" i="57"/>
  <c r="D7" i="62" s="1"/>
  <c r="F7" i="62" s="1"/>
  <c r="F92" i="57"/>
  <c r="F93" i="57"/>
  <c r="F94" i="57"/>
  <c r="F95" i="57"/>
  <c r="F96" i="57"/>
  <c r="F97" i="57"/>
  <c r="F4" i="22"/>
  <c r="F8" i="22"/>
  <c r="F9" i="22"/>
  <c r="F10" i="22"/>
  <c r="F12" i="22"/>
  <c r="F13" i="22"/>
  <c r="F14" i="22"/>
  <c r="F15" i="22"/>
  <c r="F16" i="22"/>
  <c r="F17" i="22"/>
  <c r="F19" i="22"/>
  <c r="F20" i="22"/>
  <c r="F21" i="22"/>
  <c r="E292" i="55"/>
  <c r="E299" i="55"/>
  <c r="C23" i="21"/>
  <c r="E14" i="98" s="1"/>
  <c r="E203" i="72"/>
  <c r="E208" i="72"/>
  <c r="C24" i="21"/>
  <c r="C25" i="21"/>
  <c r="C26" i="21"/>
  <c r="E17" i="98" s="1"/>
  <c r="C27" i="21"/>
  <c r="C28" i="21"/>
  <c r="E82" i="22"/>
  <c r="D37" i="21" s="1"/>
  <c r="G21" i="48"/>
  <c r="F166" i="84"/>
  <c r="F177" i="84" s="1"/>
  <c r="D19" i="21" s="1"/>
  <c r="D16" i="21"/>
  <c r="D18" i="21"/>
  <c r="F27" i="98" s="1"/>
  <c r="G4" i="22"/>
  <c r="G8" i="22"/>
  <c r="G9" i="22"/>
  <c r="G10" i="22"/>
  <c r="G12" i="22"/>
  <c r="G13" i="22"/>
  <c r="G14" i="22"/>
  <c r="G15" i="22"/>
  <c r="G16" i="22"/>
  <c r="G17" i="22"/>
  <c r="G19" i="22"/>
  <c r="G20" i="22"/>
  <c r="G21" i="22"/>
  <c r="F292" i="55"/>
  <c r="F299" i="55"/>
  <c r="D23" i="21"/>
  <c r="F14" i="98" s="1"/>
  <c r="F203" i="72"/>
  <c r="F208" i="72"/>
  <c r="D24" i="21"/>
  <c r="D25" i="21"/>
  <c r="D26" i="21"/>
  <c r="F17" i="98" s="1"/>
  <c r="D27" i="21"/>
  <c r="D28" i="21"/>
  <c r="F82" i="22"/>
  <c r="E37" i="21"/>
  <c r="G33" i="98" s="1"/>
  <c r="G166" i="84"/>
  <c r="G177" i="84" s="1"/>
  <c r="E19" i="21" s="1"/>
  <c r="E16" i="21"/>
  <c r="E18" i="21"/>
  <c r="H4" i="22"/>
  <c r="H8" i="22"/>
  <c r="H9" i="22"/>
  <c r="H10" i="22"/>
  <c r="H12" i="22"/>
  <c r="H13" i="22"/>
  <c r="H14" i="22"/>
  <c r="H15" i="22"/>
  <c r="H16" i="22"/>
  <c r="H17" i="22"/>
  <c r="H19" i="22"/>
  <c r="H20" i="22"/>
  <c r="H21" i="22"/>
  <c r="G292" i="55"/>
  <c r="G299" i="55"/>
  <c r="E23" i="21"/>
  <c r="G203" i="72"/>
  <c r="G208" i="72"/>
  <c r="E24" i="21"/>
  <c r="E25" i="21"/>
  <c r="G16" i="98" s="1"/>
  <c r="E26" i="21"/>
  <c r="G17" i="98" s="1"/>
  <c r="E27" i="21"/>
  <c r="E28" i="21"/>
  <c r="G82" i="22"/>
  <c r="F37" i="21"/>
  <c r="G60" i="29" s="1"/>
  <c r="I21" i="48"/>
  <c r="I22" i="48"/>
  <c r="H166" i="84"/>
  <c r="H177" i="84" s="1"/>
  <c r="F16" i="21"/>
  <c r="H25" i="98" s="1"/>
  <c r="F18" i="21"/>
  <c r="I4" i="22"/>
  <c r="I8" i="22"/>
  <c r="I9" i="22"/>
  <c r="I10" i="22"/>
  <c r="I12" i="22"/>
  <c r="I13" i="22"/>
  <c r="I14" i="22"/>
  <c r="I15" i="22"/>
  <c r="I16" i="22"/>
  <c r="I17" i="22"/>
  <c r="I19" i="22"/>
  <c r="I20" i="22"/>
  <c r="I21" i="22"/>
  <c r="H292" i="55"/>
  <c r="H299" i="55"/>
  <c r="F23" i="21"/>
  <c r="H203" i="72"/>
  <c r="H208" i="72"/>
  <c r="F24" i="21"/>
  <c r="H15" i="98" s="1"/>
  <c r="F25" i="21"/>
  <c r="F26" i="21"/>
  <c r="F27" i="21"/>
  <c r="F28" i="21"/>
  <c r="J22" i="48"/>
  <c r="I166" i="84"/>
  <c r="I177" i="84" s="1"/>
  <c r="G19" i="21" s="1"/>
  <c r="G16" i="21"/>
  <c r="I25" i="98" s="1"/>
  <c r="G18" i="21"/>
  <c r="I27" i="98" s="1"/>
  <c r="J4" i="22"/>
  <c r="J8" i="22"/>
  <c r="J9" i="22"/>
  <c r="J10" i="22"/>
  <c r="J12" i="22"/>
  <c r="J13" i="22"/>
  <c r="J14" i="22"/>
  <c r="J15" i="22"/>
  <c r="J16" i="22"/>
  <c r="J17" i="22"/>
  <c r="J19" i="22"/>
  <c r="J20" i="22"/>
  <c r="J21" i="22"/>
  <c r="I292" i="55"/>
  <c r="I299" i="55"/>
  <c r="G23" i="21"/>
  <c r="I14" i="98" s="1"/>
  <c r="I203" i="72"/>
  <c r="I208" i="72"/>
  <c r="G24" i="21"/>
  <c r="G25" i="21"/>
  <c r="I16" i="98" s="1"/>
  <c r="G26" i="21"/>
  <c r="G27" i="21"/>
  <c r="G28" i="21"/>
  <c r="G37" i="21"/>
  <c r="I33" i="98" s="1"/>
  <c r="K22" i="48"/>
  <c r="J166" i="84"/>
  <c r="J177" i="84"/>
  <c r="H19" i="21" s="1"/>
  <c r="H16" i="21"/>
  <c r="J25" i="98" s="1"/>
  <c r="H18" i="21"/>
  <c r="K4" i="22"/>
  <c r="K8" i="22"/>
  <c r="K9" i="22"/>
  <c r="K10" i="22"/>
  <c r="K12" i="22"/>
  <c r="K13" i="22"/>
  <c r="K14" i="22"/>
  <c r="K15" i="22"/>
  <c r="K16" i="22"/>
  <c r="K17" i="22"/>
  <c r="K19" i="22"/>
  <c r="K20" i="22"/>
  <c r="K21" i="22"/>
  <c r="J292" i="55"/>
  <c r="J299" i="55"/>
  <c r="H23" i="21"/>
  <c r="J203" i="72"/>
  <c r="J208" i="72"/>
  <c r="H24" i="21"/>
  <c r="J15" i="98" s="1"/>
  <c r="H25" i="21"/>
  <c r="H26" i="21"/>
  <c r="H27" i="21"/>
  <c r="H28" i="21"/>
  <c r="H37" i="21"/>
  <c r="C82" i="22"/>
  <c r="B37" i="21" s="1"/>
  <c r="E22" i="48"/>
  <c r="B5" i="21"/>
  <c r="C187" i="29" s="1"/>
  <c r="B6" i="21"/>
  <c r="B7" i="21"/>
  <c r="B9" i="21"/>
  <c r="C191" i="29" s="1"/>
  <c r="B10" i="21"/>
  <c r="C207" i="29" s="1"/>
  <c r="D166" i="84"/>
  <c r="D177" i="84" s="1"/>
  <c r="B19" i="21" s="1"/>
  <c r="B16" i="21"/>
  <c r="B18" i="21"/>
  <c r="D27" i="98" s="1"/>
  <c r="E14" i="22"/>
  <c r="E15" i="22"/>
  <c r="E19" i="22"/>
  <c r="E20" i="22"/>
  <c r="E21" i="22"/>
  <c r="D299" i="55"/>
  <c r="B23" i="21"/>
  <c r="D203" i="72"/>
  <c r="D208" i="72"/>
  <c r="B24" i="21"/>
  <c r="B25" i="21"/>
  <c r="B26" i="21"/>
  <c r="D17" i="98" s="1"/>
  <c r="B27" i="21"/>
  <c r="D18" i="98" s="1"/>
  <c r="B28" i="21"/>
  <c r="H32" i="57"/>
  <c r="H66" i="57" s="1"/>
  <c r="C73" i="104" s="1"/>
  <c r="C25" i="42"/>
  <c r="H23" i="42"/>
  <c r="H24" i="42"/>
  <c r="H25" i="42"/>
  <c r="H30" i="42"/>
  <c r="H33" i="42"/>
  <c r="H36" i="42"/>
  <c r="H38" i="42"/>
  <c r="H17" i="42"/>
  <c r="H19" i="42"/>
  <c r="H40" i="42"/>
  <c r="B6" i="81"/>
  <c r="D6" i="55"/>
  <c r="B7" i="81"/>
  <c r="M7" i="48"/>
  <c r="C34" i="48"/>
  <c r="F34" i="48"/>
  <c r="G34" i="48"/>
  <c r="H34" i="48"/>
  <c r="I34" i="48"/>
  <c r="J34" i="48"/>
  <c r="K34" i="48"/>
  <c r="D21" i="48"/>
  <c r="D22" i="48"/>
  <c r="D23" i="48"/>
  <c r="D24" i="48"/>
  <c r="D25" i="48"/>
  <c r="D26" i="48"/>
  <c r="D27" i="48"/>
  <c r="D28" i="48"/>
  <c r="E34" i="48"/>
  <c r="F16" i="48"/>
  <c r="G16" i="48"/>
  <c r="H16" i="48"/>
  <c r="I16" i="48"/>
  <c r="J16" i="48"/>
  <c r="K16" i="48"/>
  <c r="A6" i="48"/>
  <c r="A7" i="48"/>
  <c r="A8" i="48"/>
  <c r="A9" i="48"/>
  <c r="A10" i="48"/>
  <c r="A11" i="48"/>
  <c r="A12" i="48"/>
  <c r="M8" i="48"/>
  <c r="M9" i="48"/>
  <c r="M10" i="48"/>
  <c r="M11" i="48"/>
  <c r="M12" i="48"/>
  <c r="J10" i="72"/>
  <c r="C47" i="81"/>
  <c r="C49" i="81"/>
  <c r="C50" i="81"/>
  <c r="C51" i="81"/>
  <c r="C52" i="81"/>
  <c r="C53" i="81"/>
  <c r="C56" i="81"/>
  <c r="C57" i="81"/>
  <c r="C58" i="81"/>
  <c r="C59" i="81"/>
  <c r="C61" i="81"/>
  <c r="C62" i="81"/>
  <c r="C66" i="81"/>
  <c r="D47" i="81"/>
  <c r="D49" i="81"/>
  <c r="D50" i="81"/>
  <c r="D51" i="81"/>
  <c r="D52" i="81"/>
  <c r="D53" i="81"/>
  <c r="D56" i="81"/>
  <c r="D57" i="81"/>
  <c r="D58" i="81"/>
  <c r="D59" i="81"/>
  <c r="D61" i="81"/>
  <c r="D62" i="81"/>
  <c r="D66" i="81"/>
  <c r="E47" i="81"/>
  <c r="F47" i="81"/>
  <c r="G47" i="81"/>
  <c r="H47" i="81"/>
  <c r="J10" i="55"/>
  <c r="B109" i="81"/>
  <c r="B118" i="81"/>
  <c r="D4" i="23"/>
  <c r="G10" i="23"/>
  <c r="D11" i="23"/>
  <c r="F8" i="57"/>
  <c r="I6" i="57"/>
  <c r="F6" i="57"/>
  <c r="B26" i="57"/>
  <c r="B27" i="57" s="1"/>
  <c r="B28" i="57" s="1"/>
  <c r="B29" i="57" s="1"/>
  <c r="B30" i="57" s="1"/>
  <c r="B31" i="57" s="1"/>
  <c r="G36" i="91"/>
  <c r="G35" i="91"/>
  <c r="G34" i="91"/>
  <c r="G33" i="91"/>
  <c r="G32" i="91"/>
  <c r="G31" i="91"/>
  <c r="C5" i="97"/>
  <c r="D55" i="104"/>
  <c r="E55" i="104"/>
  <c r="D57" i="104"/>
  <c r="E57" i="104"/>
  <c r="E73" i="104"/>
  <c r="E30" i="99"/>
  <c r="G109" i="104"/>
  <c r="D39" i="104"/>
  <c r="E29" i="104"/>
  <c r="D26" i="104"/>
  <c r="E7" i="89"/>
  <c r="D21" i="91"/>
  <c r="E26" i="99"/>
  <c r="D26" i="99"/>
  <c r="E26" i="104"/>
  <c r="E12" i="103"/>
  <c r="E111" i="101"/>
  <c r="E110" i="101"/>
  <c r="E48" i="101"/>
  <c r="E47" i="101"/>
  <c r="D39" i="99"/>
  <c r="F26" i="104"/>
  <c r="E35" i="81"/>
  <c r="D18" i="103"/>
  <c r="D11" i="103"/>
  <c r="C11" i="103"/>
  <c r="D10" i="103"/>
  <c r="C10" i="103"/>
  <c r="D9" i="103"/>
  <c r="C9" i="103"/>
  <c r="D8" i="103"/>
  <c r="D7" i="103"/>
  <c r="C7" i="103"/>
  <c r="M8" i="92"/>
  <c r="F50" i="91"/>
  <c r="E50" i="91"/>
  <c r="G50" i="91" s="1"/>
  <c r="C50" i="91"/>
  <c r="F47" i="91"/>
  <c r="F46" i="91"/>
  <c r="F45" i="91"/>
  <c r="G45" i="91" s="1"/>
  <c r="F44" i="91"/>
  <c r="E47" i="91"/>
  <c r="G47" i="91"/>
  <c r="E46" i="91"/>
  <c r="E45" i="91"/>
  <c r="E44" i="91"/>
  <c r="F41" i="91"/>
  <c r="F40" i="91"/>
  <c r="G40" i="91" s="1"/>
  <c r="F39" i="91"/>
  <c r="E41" i="91"/>
  <c r="E40" i="91"/>
  <c r="E39" i="91"/>
  <c r="G39" i="91" s="1"/>
  <c r="B23" i="91"/>
  <c r="B24" i="91"/>
  <c r="B25" i="91"/>
  <c r="B26" i="91"/>
  <c r="B27" i="91"/>
  <c r="B28" i="91"/>
  <c r="B29" i="91"/>
  <c r="B30" i="91"/>
  <c r="B31" i="91"/>
  <c r="B32" i="91"/>
  <c r="B33" i="91"/>
  <c r="B34" i="91"/>
  <c r="B35" i="91"/>
  <c r="B36" i="91"/>
  <c r="G30" i="91"/>
  <c r="G29" i="91"/>
  <c r="G28" i="91"/>
  <c r="G27" i="91"/>
  <c r="G26" i="91"/>
  <c r="G25" i="91"/>
  <c r="G24" i="91"/>
  <c r="G23" i="91"/>
  <c r="G22" i="91"/>
  <c r="G68" i="91"/>
  <c r="G41" i="91"/>
  <c r="C74" i="98"/>
  <c r="D39" i="98"/>
  <c r="C39" i="98"/>
  <c r="D117" i="98"/>
  <c r="A63" i="81"/>
  <c r="A64" i="81"/>
  <c r="D36" i="87"/>
  <c r="C10" i="100"/>
  <c r="C9" i="100"/>
  <c r="C131" i="102"/>
  <c r="C130" i="102"/>
  <c r="E72" i="102"/>
  <c r="D72" i="102"/>
  <c r="E73" i="99"/>
  <c r="C19" i="97"/>
  <c r="C14" i="97"/>
  <c r="C9" i="97"/>
  <c r="E18" i="96"/>
  <c r="E17" i="96"/>
  <c r="G30" i="94"/>
  <c r="G60" i="91"/>
  <c r="G64" i="91"/>
  <c r="G57" i="91"/>
  <c r="G61" i="91"/>
  <c r="G65" i="91"/>
  <c r="G58" i="91"/>
  <c r="G62" i="91"/>
  <c r="G66" i="91"/>
  <c r="G59" i="91"/>
  <c r="G63" i="91"/>
  <c r="G67" i="91"/>
  <c r="D115" i="98"/>
  <c r="C64" i="98"/>
  <c r="C63" i="98"/>
  <c r="C62" i="98"/>
  <c r="C61" i="98"/>
  <c r="J52" i="98"/>
  <c r="I52" i="98"/>
  <c r="H52" i="98"/>
  <c r="G52" i="98"/>
  <c r="F52" i="98"/>
  <c r="E52" i="98"/>
  <c r="G70" i="91"/>
  <c r="C10" i="98"/>
  <c r="C18" i="98"/>
  <c r="C27" i="98"/>
  <c r="C9" i="98"/>
  <c r="C17" i="98"/>
  <c r="C26" i="98"/>
  <c r="C8" i="98"/>
  <c r="C16" i="98"/>
  <c r="C25" i="98"/>
  <c r="C7" i="98"/>
  <c r="C15" i="98"/>
  <c r="C24" i="98"/>
  <c r="C6" i="98"/>
  <c r="C14" i="98"/>
  <c r="C23" i="98"/>
  <c r="E6" i="95"/>
  <c r="F4" i="95"/>
  <c r="F6" i="95"/>
  <c r="G4" i="95"/>
  <c r="G6" i="95"/>
  <c r="H4" i="95"/>
  <c r="H6" i="95"/>
  <c r="I4" i="95"/>
  <c r="I6" i="95"/>
  <c r="J4" i="95"/>
  <c r="J6" i="95"/>
  <c r="K4" i="95"/>
  <c r="K6" i="95"/>
  <c r="D39" i="102"/>
  <c r="B12" i="48"/>
  <c r="A28" i="48" s="1"/>
  <c r="C44" i="102" s="1"/>
  <c r="B11" i="48"/>
  <c r="A27" i="48" s="1"/>
  <c r="C43" i="102" s="1"/>
  <c r="B10" i="48"/>
  <c r="A26" i="48" s="1"/>
  <c r="C42" i="102" s="1"/>
  <c r="B9" i="48"/>
  <c r="A25" i="48" s="1"/>
  <c r="C41" i="102"/>
  <c r="B8" i="48"/>
  <c r="A24" i="48" s="1"/>
  <c r="C40" i="102" s="1"/>
  <c r="B7" i="48"/>
  <c r="A23" i="48"/>
  <c r="B6" i="48"/>
  <c r="A22" i="48" s="1"/>
  <c r="B5" i="48"/>
  <c r="A21" i="48" s="1"/>
  <c r="C39" i="102"/>
  <c r="E39" i="102"/>
  <c r="F39" i="102"/>
  <c r="E40" i="102"/>
  <c r="F40" i="102"/>
  <c r="E41" i="102"/>
  <c r="F41" i="102"/>
  <c r="E42" i="102"/>
  <c r="F42" i="102"/>
  <c r="E43" i="102"/>
  <c r="F43" i="102"/>
  <c r="E44" i="102"/>
  <c r="F44" i="102"/>
  <c r="M5" i="48"/>
  <c r="M6" i="48"/>
  <c r="E40" i="48"/>
  <c r="E44" i="48"/>
  <c r="O10" i="61"/>
  <c r="P10" i="61"/>
  <c r="Q10" i="61"/>
  <c r="R10" i="61"/>
  <c r="G8" i="91"/>
  <c r="G16" i="91" s="1"/>
  <c r="B7" i="83"/>
  <c r="B9" i="83"/>
  <c r="C32" i="83"/>
  <c r="C98" i="53"/>
  <c r="C99" i="53"/>
  <c r="D234" i="53"/>
  <c r="C100" i="53"/>
  <c r="D168" i="53"/>
  <c r="C101" i="53"/>
  <c r="C102" i="53"/>
  <c r="C103" i="53"/>
  <c r="D171" i="53"/>
  <c r="C104" i="53"/>
  <c r="D172" i="53"/>
  <c r="C105" i="53"/>
  <c r="D173" i="53"/>
  <c r="C106" i="53"/>
  <c r="C107" i="53"/>
  <c r="C108" i="53"/>
  <c r="D176" i="53"/>
  <c r="C109" i="53"/>
  <c r="D177" i="53"/>
  <c r="C110" i="53"/>
  <c r="C87" i="53"/>
  <c r="C89" i="53"/>
  <c r="D157" i="53"/>
  <c r="C90" i="53"/>
  <c r="D158" i="53"/>
  <c r="C91" i="53"/>
  <c r="C95" i="53"/>
  <c r="C96" i="53"/>
  <c r="D164" i="53"/>
  <c r="C97" i="53"/>
  <c r="D165" i="53"/>
  <c r="B120" i="81"/>
  <c r="C83" i="53"/>
  <c r="C84" i="53"/>
  <c r="C86" i="53"/>
  <c r="D154" i="53"/>
  <c r="C88" i="53"/>
  <c r="C92" i="53"/>
  <c r="D227" i="53"/>
  <c r="C93" i="53"/>
  <c r="C94" i="53"/>
  <c r="D162" i="53"/>
  <c r="C182" i="53"/>
  <c r="D166" i="53"/>
  <c r="D167" i="53"/>
  <c r="D170" i="53"/>
  <c r="D174" i="53"/>
  <c r="D175" i="53"/>
  <c r="D178" i="53"/>
  <c r="D155" i="53"/>
  <c r="D163" i="53"/>
  <c r="D151" i="53"/>
  <c r="D152" i="53"/>
  <c r="D160" i="53"/>
  <c r="D161" i="53"/>
  <c r="B124" i="84"/>
  <c r="B141" i="84"/>
  <c r="B125" i="84"/>
  <c r="B142" i="84"/>
  <c r="D155" i="84"/>
  <c r="B126" i="84"/>
  <c r="B143" i="84"/>
  <c r="D156" i="84"/>
  <c r="B9" i="42"/>
  <c r="D17" i="42"/>
  <c r="D19" i="42"/>
  <c r="D233" i="53"/>
  <c r="D235" i="53"/>
  <c r="D237" i="53"/>
  <c r="D238" i="53"/>
  <c r="D239" i="53"/>
  <c r="D242" i="53"/>
  <c r="D222" i="53"/>
  <c r="D230" i="53"/>
  <c r="D205" i="53"/>
  <c r="D214" i="53"/>
  <c r="D218" i="53"/>
  <c r="D219" i="53"/>
  <c r="D221" i="53"/>
  <c r="D223" i="53"/>
  <c r="D228" i="53"/>
  <c r="D229" i="53"/>
  <c r="D243" i="53"/>
  <c r="H59" i="57"/>
  <c r="H55" i="57"/>
  <c r="D165" i="84"/>
  <c r="D163" i="84"/>
  <c r="D164" i="84"/>
  <c r="D167" i="84"/>
  <c r="D23" i="42"/>
  <c r="D24" i="42"/>
  <c r="G57" i="57"/>
  <c r="G58" i="57"/>
  <c r="G59" i="57" s="1"/>
  <c r="G61" i="57"/>
  <c r="G62" i="57"/>
  <c r="G63" i="57"/>
  <c r="B9" i="68"/>
  <c r="D14" i="98"/>
  <c r="D15" i="98"/>
  <c r="D33" i="42"/>
  <c r="D36" i="42"/>
  <c r="D180" i="84"/>
  <c r="D181" i="84"/>
  <c r="D185" i="84"/>
  <c r="D265" i="53"/>
  <c r="D266" i="53"/>
  <c r="D267" i="53"/>
  <c r="D268" i="53"/>
  <c r="D273" i="53"/>
  <c r="C10" i="62"/>
  <c r="C9" i="62"/>
  <c r="C18" i="100" s="1"/>
  <c r="C8" i="62"/>
  <c r="C17" i="100" s="1"/>
  <c r="C7" i="62"/>
  <c r="C16" i="100" s="1"/>
  <c r="C6" i="62"/>
  <c r="C5" i="62"/>
  <c r="B16" i="68"/>
  <c r="C59" i="98" s="1"/>
  <c r="C44" i="83"/>
  <c r="D44" i="83"/>
  <c r="E44" i="83"/>
  <c r="F44" i="83"/>
  <c r="G44" i="83"/>
  <c r="H44" i="83"/>
  <c r="C72" i="83"/>
  <c r="D72" i="83"/>
  <c r="E72" i="83"/>
  <c r="F72" i="83"/>
  <c r="G72" i="83"/>
  <c r="H72" i="83"/>
  <c r="E149" i="84"/>
  <c r="F149" i="84"/>
  <c r="G149" i="84"/>
  <c r="G164" i="84"/>
  <c r="H149" i="84"/>
  <c r="K12" i="83"/>
  <c r="L12" i="83"/>
  <c r="M12" i="83"/>
  <c r="N12" i="83"/>
  <c r="H124" i="84"/>
  <c r="H141" i="84"/>
  <c r="H125" i="84"/>
  <c r="H142" i="84"/>
  <c r="H126" i="84"/>
  <c r="H143" i="84"/>
  <c r="G124" i="84"/>
  <c r="G141" i="84"/>
  <c r="G125" i="84"/>
  <c r="G142" i="84"/>
  <c r="G126" i="84"/>
  <c r="G143" i="84"/>
  <c r="H164" i="84"/>
  <c r="F124" i="84"/>
  <c r="F141" i="84"/>
  <c r="F125" i="84"/>
  <c r="F142" i="84"/>
  <c r="F126" i="84"/>
  <c r="F143" i="84"/>
  <c r="G163" i="84"/>
  <c r="E124" i="84"/>
  <c r="E141" i="84"/>
  <c r="E125" i="84"/>
  <c r="E142" i="84"/>
  <c r="E126" i="84"/>
  <c r="E143" i="84"/>
  <c r="F163" i="84"/>
  <c r="F164" i="84"/>
  <c r="F165" i="84"/>
  <c r="F167" i="84"/>
  <c r="D124" i="84"/>
  <c r="D141" i="84"/>
  <c r="D125" i="84"/>
  <c r="D142" i="84"/>
  <c r="D126" i="84"/>
  <c r="D143" i="84"/>
  <c r="E163" i="84"/>
  <c r="E164" i="84"/>
  <c r="E167" i="84"/>
  <c r="C124" i="84"/>
  <c r="C141" i="84"/>
  <c r="C125" i="84"/>
  <c r="C142" i="84"/>
  <c r="E155" i="84"/>
  <c r="C126" i="84"/>
  <c r="C143" i="84"/>
  <c r="E156" i="84"/>
  <c r="C97" i="81"/>
  <c r="D97" i="81"/>
  <c r="E97" i="81"/>
  <c r="F97" i="81"/>
  <c r="G97" i="81"/>
  <c r="H97" i="81"/>
  <c r="E124" i="53"/>
  <c r="F124" i="53"/>
  <c r="F205" i="53"/>
  <c r="C120" i="81"/>
  <c r="D120" i="81"/>
  <c r="E120" i="81"/>
  <c r="F120" i="81"/>
  <c r="G120" i="81"/>
  <c r="H120" i="81"/>
  <c r="I83" i="53"/>
  <c r="I84" i="53"/>
  <c r="C100" i="83"/>
  <c r="D100" i="83"/>
  <c r="E100" i="83"/>
  <c r="F100" i="83"/>
  <c r="G100" i="83"/>
  <c r="H100" i="83"/>
  <c r="I86" i="53"/>
  <c r="I87" i="53"/>
  <c r="I88" i="53"/>
  <c r="I89" i="53"/>
  <c r="I90" i="53"/>
  <c r="I91" i="53"/>
  <c r="I92" i="53"/>
  <c r="I93" i="53"/>
  <c r="I94" i="53"/>
  <c r="I95" i="53"/>
  <c r="I96" i="53"/>
  <c r="I97" i="53"/>
  <c r="I98" i="53"/>
  <c r="I99" i="53"/>
  <c r="I100" i="53"/>
  <c r="I101" i="53"/>
  <c r="I102" i="53"/>
  <c r="I103" i="53"/>
  <c r="I107" i="53"/>
  <c r="I108" i="53"/>
  <c r="I109" i="53"/>
  <c r="I110" i="53"/>
  <c r="I104" i="53"/>
  <c r="I105" i="53"/>
  <c r="I106" i="53"/>
  <c r="H83" i="53"/>
  <c r="H84" i="53"/>
  <c r="H86" i="53"/>
  <c r="H87" i="53"/>
  <c r="H88" i="53"/>
  <c r="H89" i="53"/>
  <c r="H90" i="53"/>
  <c r="H91" i="53"/>
  <c r="H92" i="53"/>
  <c r="H93" i="53"/>
  <c r="H94" i="53"/>
  <c r="H95" i="53"/>
  <c r="H96" i="53"/>
  <c r="H97" i="53"/>
  <c r="H98" i="53"/>
  <c r="H99" i="53"/>
  <c r="H100" i="53"/>
  <c r="H101" i="53"/>
  <c r="H102" i="53"/>
  <c r="H103" i="53"/>
  <c r="H107" i="53"/>
  <c r="H108" i="53"/>
  <c r="H109" i="53"/>
  <c r="H110" i="53"/>
  <c r="H104" i="53"/>
  <c r="H105" i="53"/>
  <c r="H106" i="53"/>
  <c r="G83" i="53"/>
  <c r="G84" i="53"/>
  <c r="G86" i="53"/>
  <c r="G87" i="53"/>
  <c r="G88" i="53"/>
  <c r="G89" i="53"/>
  <c r="G90" i="53"/>
  <c r="G91" i="53"/>
  <c r="G92" i="53"/>
  <c r="G93" i="53"/>
  <c r="G94" i="53"/>
  <c r="G95" i="53"/>
  <c r="G96" i="53"/>
  <c r="G97" i="53"/>
  <c r="G98" i="53"/>
  <c r="G99" i="53"/>
  <c r="G100" i="53"/>
  <c r="G101" i="53"/>
  <c r="G102" i="53"/>
  <c r="G103" i="53"/>
  <c r="G107" i="53"/>
  <c r="G108" i="53"/>
  <c r="G109" i="53"/>
  <c r="G110" i="53"/>
  <c r="G104" i="53"/>
  <c r="G105" i="53"/>
  <c r="G106" i="53"/>
  <c r="F83" i="53"/>
  <c r="F84" i="53"/>
  <c r="F86" i="53"/>
  <c r="F87" i="53"/>
  <c r="F88" i="53"/>
  <c r="F89" i="53"/>
  <c r="F90" i="53"/>
  <c r="F91" i="53"/>
  <c r="F92" i="53"/>
  <c r="F93" i="53"/>
  <c r="F94" i="53"/>
  <c r="F95" i="53"/>
  <c r="F96" i="53"/>
  <c r="F97" i="53"/>
  <c r="F98" i="53"/>
  <c r="F99" i="53"/>
  <c r="F100" i="53"/>
  <c r="F101" i="53"/>
  <c r="F102" i="53"/>
  <c r="F103" i="53"/>
  <c r="F107" i="53"/>
  <c r="F108" i="53"/>
  <c r="F109" i="53"/>
  <c r="F110" i="53"/>
  <c r="F104" i="53"/>
  <c r="F105" i="53"/>
  <c r="F106" i="53"/>
  <c r="E83" i="53"/>
  <c r="F218" i="53"/>
  <c r="E84" i="53"/>
  <c r="F219" i="53"/>
  <c r="E86" i="53"/>
  <c r="F221" i="53"/>
  <c r="E87" i="53"/>
  <c r="F222" i="53"/>
  <c r="E88" i="53"/>
  <c r="F223" i="53"/>
  <c r="E89" i="53"/>
  <c r="F224" i="53"/>
  <c r="E90" i="53"/>
  <c r="E91" i="53"/>
  <c r="F226" i="53"/>
  <c r="E92" i="53"/>
  <c r="F227" i="53"/>
  <c r="E93" i="53"/>
  <c r="F228" i="53"/>
  <c r="E94" i="53"/>
  <c r="F229" i="53"/>
  <c r="E95" i="53"/>
  <c r="F230" i="53"/>
  <c r="E96" i="53"/>
  <c r="F231" i="53"/>
  <c r="E97" i="53"/>
  <c r="F232" i="53"/>
  <c r="E98" i="53"/>
  <c r="E99" i="53"/>
  <c r="F234" i="53"/>
  <c r="E100" i="53"/>
  <c r="F235" i="53"/>
  <c r="E101" i="53"/>
  <c r="F236" i="53"/>
  <c r="E102" i="53"/>
  <c r="F237" i="53"/>
  <c r="E103" i="53"/>
  <c r="F238" i="53"/>
  <c r="E107" i="53"/>
  <c r="F239" i="53"/>
  <c r="E108" i="53"/>
  <c r="F240" i="53"/>
  <c r="E109" i="53"/>
  <c r="E110" i="53"/>
  <c r="F242" i="53"/>
  <c r="E104" i="53"/>
  <c r="E105" i="53"/>
  <c r="E106" i="53"/>
  <c r="F214" i="53"/>
  <c r="F243" i="53"/>
  <c r="D83" i="53"/>
  <c r="D84" i="53"/>
  <c r="E152" i="53"/>
  <c r="E219" i="53"/>
  <c r="D86" i="53"/>
  <c r="E221" i="53"/>
  <c r="D87" i="53"/>
  <c r="D88" i="53"/>
  <c r="E223" i="53"/>
  <c r="D89" i="53"/>
  <c r="E157" i="53"/>
  <c r="E224" i="53"/>
  <c r="D90" i="53"/>
  <c r="E225" i="53"/>
  <c r="D91" i="53"/>
  <c r="E226" i="53"/>
  <c r="D92" i="53"/>
  <c r="E227" i="53"/>
  <c r="D93" i="53"/>
  <c r="E161" i="53"/>
  <c r="E228" i="53"/>
  <c r="D94" i="53"/>
  <c r="E229" i="53"/>
  <c r="D95" i="53"/>
  <c r="E230" i="53"/>
  <c r="D96" i="53"/>
  <c r="E231" i="53"/>
  <c r="D97" i="53"/>
  <c r="E165" i="53"/>
  <c r="E232" i="53"/>
  <c r="D98" i="53"/>
  <c r="E233" i="53"/>
  <c r="D99" i="53"/>
  <c r="E234" i="53"/>
  <c r="D100" i="53"/>
  <c r="E235" i="53"/>
  <c r="D101" i="53"/>
  <c r="E236" i="53"/>
  <c r="D102" i="53"/>
  <c r="E237" i="53"/>
  <c r="D103" i="53"/>
  <c r="E238" i="53"/>
  <c r="D107" i="53"/>
  <c r="E239" i="53"/>
  <c r="D108" i="53"/>
  <c r="E176" i="53"/>
  <c r="E240" i="53"/>
  <c r="D109" i="53"/>
  <c r="E241" i="53"/>
  <c r="D110" i="53"/>
  <c r="E242" i="53"/>
  <c r="D104" i="53"/>
  <c r="D105" i="53"/>
  <c r="D106" i="53"/>
  <c r="E205" i="53"/>
  <c r="E214" i="53"/>
  <c r="E243" i="53"/>
  <c r="F40" i="48"/>
  <c r="F44" i="48"/>
  <c r="E13" i="42"/>
  <c r="F13" i="42"/>
  <c r="E154" i="53"/>
  <c r="E158" i="53"/>
  <c r="E159" i="53"/>
  <c r="E162" i="53"/>
  <c r="E163" i="53"/>
  <c r="E166" i="53"/>
  <c r="E167" i="53"/>
  <c r="E170" i="53"/>
  <c r="E171" i="53"/>
  <c r="E174" i="53"/>
  <c r="E175" i="53"/>
  <c r="E178" i="53"/>
  <c r="C8" i="42"/>
  <c r="C9" i="42"/>
  <c r="F152" i="53"/>
  <c r="F154" i="53"/>
  <c r="F157" i="53"/>
  <c r="F161" i="53"/>
  <c r="F162" i="53"/>
  <c r="F165" i="53"/>
  <c r="F169" i="53"/>
  <c r="F170" i="53"/>
  <c r="F174" i="53"/>
  <c r="F178" i="53"/>
  <c r="G154" i="84"/>
  <c r="H156" i="84"/>
  <c r="A49" i="81"/>
  <c r="A74" i="81"/>
  <c r="A99" i="81"/>
  <c r="A9" i="53"/>
  <c r="A67" i="83"/>
  <c r="A95" i="83"/>
  <c r="A123" i="83"/>
  <c r="A54" i="53"/>
  <c r="A66" i="83"/>
  <c r="A94" i="83"/>
  <c r="A65" i="83"/>
  <c r="A93" i="83"/>
  <c r="A121" i="83"/>
  <c r="A52" i="53"/>
  <c r="A64" i="83"/>
  <c r="A92" i="83"/>
  <c r="A31" i="84"/>
  <c r="A120" i="83"/>
  <c r="A51" i="53"/>
  <c r="C9" i="61"/>
  <c r="C17" i="61"/>
  <c r="V8" i="61"/>
  <c r="V9" i="61"/>
  <c r="V10" i="61"/>
  <c r="V12" i="61"/>
  <c r="V13" i="61"/>
  <c r="U13" i="61"/>
  <c r="U12" i="61"/>
  <c r="U10" i="61"/>
  <c r="U11" i="61"/>
  <c r="U9" i="61"/>
  <c r="O13" i="61"/>
  <c r="P13" i="61"/>
  <c r="Q13" i="61"/>
  <c r="R13" i="61"/>
  <c r="N13" i="61"/>
  <c r="O12" i="61"/>
  <c r="N12" i="61"/>
  <c r="N11" i="61"/>
  <c r="N10" i="61"/>
  <c r="O9" i="61"/>
  <c r="P9" i="61"/>
  <c r="Q9" i="61"/>
  <c r="R9" i="61"/>
  <c r="N9" i="61"/>
  <c r="R8" i="61"/>
  <c r="Q8" i="61"/>
  <c r="P8" i="61"/>
  <c r="O8" i="61"/>
  <c r="P12" i="61"/>
  <c r="Q12" i="61"/>
  <c r="R12" i="61"/>
  <c r="C15" i="61"/>
  <c r="C16" i="61"/>
  <c r="I208" i="29"/>
  <c r="H208" i="29"/>
  <c r="G208" i="29"/>
  <c r="F208" i="29"/>
  <c r="E208" i="29"/>
  <c r="D208" i="29"/>
  <c r="C208" i="29"/>
  <c r="B163" i="29"/>
  <c r="B178" i="29"/>
  <c r="B193" i="29" s="1"/>
  <c r="B208" i="29" s="1"/>
  <c r="B162" i="29"/>
  <c r="B177" i="29"/>
  <c r="B192" i="29" s="1"/>
  <c r="B207" i="29" s="1"/>
  <c r="I193" i="29"/>
  <c r="H193" i="29"/>
  <c r="G193" i="29"/>
  <c r="F193" i="29"/>
  <c r="E193" i="29"/>
  <c r="D193" i="29"/>
  <c r="C193" i="29"/>
  <c r="I178" i="29"/>
  <c r="H178" i="29"/>
  <c r="G178" i="29"/>
  <c r="F178" i="29"/>
  <c r="E178" i="29"/>
  <c r="D178" i="29"/>
  <c r="C178" i="29"/>
  <c r="I163" i="29"/>
  <c r="H163" i="29"/>
  <c r="G163" i="29"/>
  <c r="F163" i="29"/>
  <c r="E163" i="29"/>
  <c r="D163" i="29"/>
  <c r="C163" i="29"/>
  <c r="B161" i="29"/>
  <c r="B176" i="29" s="1"/>
  <c r="B191" i="29" s="1"/>
  <c r="B206" i="29" s="1"/>
  <c r="B160" i="29"/>
  <c r="B175" i="29" s="1"/>
  <c r="B190" i="29" s="1"/>
  <c r="B205" i="29" s="1"/>
  <c r="B159" i="29"/>
  <c r="B174" i="29" s="1"/>
  <c r="B189" i="29" s="1"/>
  <c r="B204" i="29" s="1"/>
  <c r="B158" i="29"/>
  <c r="B173" i="29" s="1"/>
  <c r="B188" i="29" s="1"/>
  <c r="B203" i="29" s="1"/>
  <c r="B157" i="29"/>
  <c r="B172" i="29" s="1"/>
  <c r="B187" i="29" s="1"/>
  <c r="B202" i="29" s="1"/>
  <c r="B35" i="29"/>
  <c r="B34" i="29"/>
  <c r="B33" i="29"/>
  <c r="B32" i="29"/>
  <c r="B31" i="29"/>
  <c r="B30" i="29"/>
  <c r="C52" i="61"/>
  <c r="C51" i="61"/>
  <c r="C50" i="61"/>
  <c r="C49" i="61"/>
  <c r="C48" i="61"/>
  <c r="C47" i="61"/>
  <c r="H180" i="84"/>
  <c r="H181" i="84"/>
  <c r="H185" i="84"/>
  <c r="G180" i="84"/>
  <c r="G181" i="84"/>
  <c r="G185" i="84"/>
  <c r="F180" i="84"/>
  <c r="F181" i="84"/>
  <c r="F185" i="84"/>
  <c r="E180" i="84"/>
  <c r="E181" i="84"/>
  <c r="E185" i="84"/>
  <c r="A19" i="21"/>
  <c r="A28" i="21" s="1"/>
  <c r="A156" i="84"/>
  <c r="A155" i="84"/>
  <c r="A154" i="84"/>
  <c r="A34" i="84"/>
  <c r="A32" i="84"/>
  <c r="A55" i="55"/>
  <c r="A112" i="55"/>
  <c r="A164" i="55"/>
  <c r="A223" i="55"/>
  <c r="A54" i="55"/>
  <c r="A111" i="55"/>
  <c r="A163" i="55"/>
  <c r="A222" i="55"/>
  <c r="A53" i="55"/>
  <c r="A110" i="55"/>
  <c r="A162" i="55"/>
  <c r="A221" i="55"/>
  <c r="A56" i="55"/>
  <c r="A113" i="55"/>
  <c r="A165" i="55"/>
  <c r="A224" i="55"/>
  <c r="A179" i="53"/>
  <c r="A243" i="53"/>
  <c r="A70" i="83"/>
  <c r="A98" i="83"/>
  <c r="A126" i="83"/>
  <c r="A57" i="53"/>
  <c r="A178" i="53"/>
  <c r="A242" i="53"/>
  <c r="A69" i="83"/>
  <c r="A97" i="83"/>
  <c r="A125" i="83"/>
  <c r="A56" i="53"/>
  <c r="A177" i="53"/>
  <c r="A241" i="53"/>
  <c r="A68" i="83"/>
  <c r="A96" i="83"/>
  <c r="A124" i="83"/>
  <c r="A55" i="53"/>
  <c r="A63" i="83"/>
  <c r="A91" i="83"/>
  <c r="A119" i="83"/>
  <c r="A50" i="53"/>
  <c r="A62" i="83"/>
  <c r="A90" i="83"/>
  <c r="A118" i="83"/>
  <c r="A49" i="53"/>
  <c r="A170" i="53"/>
  <c r="A237" i="53"/>
  <c r="A61" i="83"/>
  <c r="A89" i="83"/>
  <c r="A117" i="83"/>
  <c r="A48" i="53"/>
  <c r="A60" i="83"/>
  <c r="A88" i="83"/>
  <c r="A116" i="83"/>
  <c r="A47" i="53"/>
  <c r="A59" i="83"/>
  <c r="A87" i="83"/>
  <c r="A115" i="83"/>
  <c r="A46" i="53"/>
  <c r="A58" i="83"/>
  <c r="A86" i="83"/>
  <c r="A114" i="83"/>
  <c r="A45" i="53"/>
  <c r="A166" i="53"/>
  <c r="A233" i="53"/>
  <c r="A57" i="83"/>
  <c r="A85" i="83"/>
  <c r="A113" i="83"/>
  <c r="A44" i="53"/>
  <c r="A56" i="83"/>
  <c r="A84" i="83"/>
  <c r="A112" i="83"/>
  <c r="A43" i="53"/>
  <c r="A55" i="83"/>
  <c r="A83" i="83"/>
  <c r="A111" i="83"/>
  <c r="A42" i="53"/>
  <c r="A54" i="83"/>
  <c r="A82" i="83"/>
  <c r="A110" i="83"/>
  <c r="A41" i="53"/>
  <c r="A162" i="53"/>
  <c r="A229" i="53"/>
  <c r="A53" i="83"/>
  <c r="A81" i="83"/>
  <c r="A109" i="83"/>
  <c r="A40" i="53"/>
  <c r="A52" i="83"/>
  <c r="A80" i="83"/>
  <c r="A108" i="83"/>
  <c r="A39" i="53"/>
  <c r="A51" i="83"/>
  <c r="A79" i="83"/>
  <c r="A107" i="83"/>
  <c r="A38" i="53"/>
  <c r="A50" i="83"/>
  <c r="A78" i="83"/>
  <c r="A106" i="83"/>
  <c r="A37" i="53"/>
  <c r="A158" i="53"/>
  <c r="A225" i="53"/>
  <c r="A49" i="83"/>
  <c r="A77" i="83"/>
  <c r="A105" i="83"/>
  <c r="A36" i="53"/>
  <c r="A48" i="83"/>
  <c r="A37" i="55"/>
  <c r="A94" i="55"/>
  <c r="A76" i="83"/>
  <c r="A104" i="83"/>
  <c r="A35" i="53"/>
  <c r="A47" i="83"/>
  <c r="A75" i="83"/>
  <c r="A103" i="83"/>
  <c r="A34" i="53"/>
  <c r="A46" i="83"/>
  <c r="A74" i="83"/>
  <c r="A32" i="53"/>
  <c r="A153" i="53"/>
  <c r="A220" i="53"/>
  <c r="A110" i="53"/>
  <c r="A109" i="53"/>
  <c r="A102" i="53"/>
  <c r="A98" i="53"/>
  <c r="A94" i="53"/>
  <c r="A31" i="53"/>
  <c r="A152" i="53"/>
  <c r="A219" i="53"/>
  <c r="A69" i="81"/>
  <c r="A94" i="81"/>
  <c r="A119" i="81"/>
  <c r="A30" i="53"/>
  <c r="A68" i="81"/>
  <c r="A93" i="81"/>
  <c r="A118" i="81"/>
  <c r="A29" i="53"/>
  <c r="A67" i="81"/>
  <c r="A92" i="81"/>
  <c r="A50" i="81"/>
  <c r="A75" i="81"/>
  <c r="A34" i="55"/>
  <c r="A91" i="55"/>
  <c r="A35" i="55"/>
  <c r="A36" i="55"/>
  <c r="A93" i="55"/>
  <c r="A145" i="55"/>
  <c r="A204" i="55"/>
  <c r="A258" i="55"/>
  <c r="A38" i="55"/>
  <c r="A95" i="55"/>
  <c r="A147" i="55"/>
  <c r="A206" i="55"/>
  <c r="A260" i="55"/>
  <c r="A39" i="55"/>
  <c r="A40" i="55"/>
  <c r="A97" i="55"/>
  <c r="A41" i="55"/>
  <c r="A42" i="55"/>
  <c r="A99" i="55"/>
  <c r="A43" i="55"/>
  <c r="A44" i="55"/>
  <c r="A101" i="55"/>
  <c r="A45" i="55"/>
  <c r="A46" i="55"/>
  <c r="A103" i="55"/>
  <c r="A155" i="55"/>
  <c r="A214" i="55"/>
  <c r="A268" i="55"/>
  <c r="A47" i="55"/>
  <c r="A48" i="55"/>
  <c r="A105" i="55"/>
  <c r="A49" i="55"/>
  <c r="A50" i="55"/>
  <c r="A107" i="55"/>
  <c r="A51" i="55"/>
  <c r="A52" i="55"/>
  <c r="A109" i="55"/>
  <c r="A57" i="55"/>
  <c r="A58" i="55"/>
  <c r="A115" i="55"/>
  <c r="A167" i="55"/>
  <c r="A226" i="55"/>
  <c r="A277" i="55"/>
  <c r="A59" i="55"/>
  <c r="A279" i="55"/>
  <c r="A280" i="55"/>
  <c r="A116" i="55"/>
  <c r="A168" i="55"/>
  <c r="A227" i="55"/>
  <c r="A278" i="55"/>
  <c r="A114" i="55"/>
  <c r="A166" i="55"/>
  <c r="A225" i="55"/>
  <c r="A276" i="55"/>
  <c r="A275" i="55"/>
  <c r="A161" i="55"/>
  <c r="A220" i="55"/>
  <c r="A274" i="55"/>
  <c r="A108" i="55"/>
  <c r="A160" i="55"/>
  <c r="A219" i="55"/>
  <c r="A273" i="55"/>
  <c r="A159" i="55"/>
  <c r="A218" i="55"/>
  <c r="A272" i="55"/>
  <c r="A106" i="55"/>
  <c r="A158" i="55"/>
  <c r="A217" i="55"/>
  <c r="A271" i="55"/>
  <c r="A157" i="55"/>
  <c r="A216" i="55"/>
  <c r="A270" i="55"/>
  <c r="A104" i="55"/>
  <c r="A156" i="55"/>
  <c r="A215" i="55"/>
  <c r="A269" i="55"/>
  <c r="A102" i="55"/>
  <c r="A154" i="55"/>
  <c r="A213" i="55"/>
  <c r="A267" i="55"/>
  <c r="A153" i="55"/>
  <c r="A212" i="55"/>
  <c r="A266" i="55"/>
  <c r="A100" i="55"/>
  <c r="A152" i="55"/>
  <c r="A211" i="55"/>
  <c r="A265" i="55"/>
  <c r="A151" i="55"/>
  <c r="A210" i="55"/>
  <c r="A264" i="55"/>
  <c r="A98" i="55"/>
  <c r="A150" i="55"/>
  <c r="A209" i="55"/>
  <c r="A263" i="55"/>
  <c r="A149" i="55"/>
  <c r="A208" i="55"/>
  <c r="A262" i="55"/>
  <c r="A96" i="55"/>
  <c r="A148" i="55"/>
  <c r="A207" i="55"/>
  <c r="A261" i="55"/>
  <c r="A146" i="55"/>
  <c r="A205" i="55"/>
  <c r="A259" i="55"/>
  <c r="A92" i="55"/>
  <c r="A144" i="55"/>
  <c r="A203" i="55"/>
  <c r="A257" i="55"/>
  <c r="A143" i="55"/>
  <c r="A202" i="55"/>
  <c r="A256" i="55"/>
  <c r="A255" i="55"/>
  <c r="A254" i="55"/>
  <c r="A31" i="55"/>
  <c r="A88" i="55"/>
  <c r="A140" i="55"/>
  <c r="A198" i="55"/>
  <c r="A253" i="55"/>
  <c r="A29" i="55"/>
  <c r="A86" i="55"/>
  <c r="A251" i="55"/>
  <c r="A66" i="81"/>
  <c r="A28" i="55"/>
  <c r="A85" i="55"/>
  <c r="A137" i="55"/>
  <c r="A195" i="55"/>
  <c r="A250" i="55"/>
  <c r="A37" i="84"/>
  <c r="A65" i="84"/>
  <c r="A135" i="84"/>
  <c r="A36" i="84"/>
  <c r="A64" i="84"/>
  <c r="A131" i="84"/>
  <c r="A35" i="84"/>
  <c r="A63" i="84"/>
  <c r="A127" i="84"/>
  <c r="A62" i="84"/>
  <c r="A123" i="84"/>
  <c r="A30" i="84"/>
  <c r="A61" i="84"/>
  <c r="A29" i="84"/>
  <c r="A60" i="84"/>
  <c r="A28" i="84"/>
  <c r="A59" i="84"/>
  <c r="A120" i="84"/>
  <c r="A27" i="84"/>
  <c r="A58" i="84"/>
  <c r="A26" i="84"/>
  <c r="A24" i="84"/>
  <c r="A23" i="84"/>
  <c r="A54" i="84"/>
  <c r="A106" i="84"/>
  <c r="A22" i="84"/>
  <c r="A21" i="84"/>
  <c r="A52" i="84"/>
  <c r="A20" i="84"/>
  <c r="A19" i="84"/>
  <c r="A50" i="84"/>
  <c r="A18" i="84"/>
  <c r="A16" i="84"/>
  <c r="A15" i="84"/>
  <c r="A46" i="84"/>
  <c r="A75" i="84"/>
  <c r="A14" i="84"/>
  <c r="A122" i="84"/>
  <c r="A121" i="84"/>
  <c r="A119" i="84"/>
  <c r="A57" i="84"/>
  <c r="A118" i="84"/>
  <c r="A55" i="84"/>
  <c r="A110" i="84"/>
  <c r="A53" i="84"/>
  <c r="A102" i="84"/>
  <c r="A98" i="84"/>
  <c r="A51" i="84"/>
  <c r="A94" i="84"/>
  <c r="A91" i="84"/>
  <c r="A49" i="84"/>
  <c r="A87" i="84"/>
  <c r="A47" i="84"/>
  <c r="A79" i="84"/>
  <c r="A45" i="84"/>
  <c r="A71" i="84"/>
  <c r="E265" i="53"/>
  <c r="E266" i="53"/>
  <c r="E267" i="53"/>
  <c r="E268" i="53"/>
  <c r="E273" i="53"/>
  <c r="E18" i="98"/>
  <c r="F265" i="53"/>
  <c r="F266" i="53"/>
  <c r="F267" i="53"/>
  <c r="F268" i="53"/>
  <c r="F273" i="53"/>
  <c r="F18" i="98"/>
  <c r="J33" i="98"/>
  <c r="H83" i="22"/>
  <c r="I83" i="22"/>
  <c r="A57" i="22"/>
  <c r="A58" i="22"/>
  <c r="A59" i="22"/>
  <c r="A60" i="22"/>
  <c r="C64" i="29"/>
  <c r="D64" i="29"/>
  <c r="E64" i="29"/>
  <c r="F64" i="29"/>
  <c r="G64" i="29"/>
  <c r="H64" i="29"/>
  <c r="I64" i="29"/>
  <c r="V12" i="83"/>
  <c r="W12" i="83"/>
  <c r="X12" i="83"/>
  <c r="P12" i="83"/>
  <c r="Q12" i="83"/>
  <c r="R12" i="83"/>
  <c r="S12" i="83"/>
  <c r="T12" i="83"/>
  <c r="K12" i="81"/>
  <c r="L12" i="81"/>
  <c r="M12" i="81"/>
  <c r="N12" i="81"/>
  <c r="A51" i="81"/>
  <c r="A76" i="81"/>
  <c r="A91" i="81"/>
  <c r="A116" i="81"/>
  <c r="A27" i="53"/>
  <c r="A26" i="53"/>
  <c r="A147" i="53"/>
  <c r="A214" i="53"/>
  <c r="A65" i="81"/>
  <c r="A90" i="81"/>
  <c r="A115" i="81"/>
  <c r="A25" i="53"/>
  <c r="A89" i="81"/>
  <c r="A114" i="81"/>
  <c r="A88" i="81"/>
  <c r="A62" i="81"/>
  <c r="A87" i="81"/>
  <c r="A61" i="81"/>
  <c r="A86" i="81"/>
  <c r="A60" i="81"/>
  <c r="A85" i="81"/>
  <c r="A59" i="81"/>
  <c r="A84" i="81"/>
  <c r="A58" i="81"/>
  <c r="A83" i="81"/>
  <c r="A138" i="53"/>
  <c r="A205" i="53"/>
  <c r="A56" i="81"/>
  <c r="A81" i="81"/>
  <c r="A55" i="81"/>
  <c r="A80" i="81"/>
  <c r="A54" i="81"/>
  <c r="A79" i="81"/>
  <c r="A53" i="81"/>
  <c r="A78" i="81"/>
  <c r="A52" i="81"/>
  <c r="A77" i="81"/>
  <c r="A129" i="53"/>
  <c r="A61" i="53"/>
  <c r="A85" i="53"/>
  <c r="A84" i="53"/>
  <c r="A79" i="53"/>
  <c r="A70" i="53"/>
  <c r="A57" i="81"/>
  <c r="A82" i="81"/>
  <c r="A26" i="55"/>
  <c r="A83" i="55"/>
  <c r="A135" i="55"/>
  <c r="A193" i="55"/>
  <c r="A248" i="55"/>
  <c r="A25" i="55"/>
  <c r="A82" i="55"/>
  <c r="A134" i="55"/>
  <c r="A192" i="55"/>
  <c r="A247" i="55"/>
  <c r="A24" i="55"/>
  <c r="A81" i="55"/>
  <c r="A133" i="55"/>
  <c r="A191" i="55"/>
  <c r="A246" i="55"/>
  <c r="A17" i="55"/>
  <c r="A74" i="55"/>
  <c r="A126" i="55"/>
  <c r="A184" i="55"/>
  <c r="A239" i="55"/>
  <c r="A15" i="55"/>
  <c r="A72" i="55"/>
  <c r="A124" i="55"/>
  <c r="A182" i="55"/>
  <c r="A237" i="55"/>
  <c r="A13" i="55"/>
  <c r="A70" i="55"/>
  <c r="A122" i="55"/>
  <c r="A180" i="55"/>
  <c r="A235" i="55"/>
  <c r="A12" i="55"/>
  <c r="A69" i="55"/>
  <c r="A121" i="55"/>
  <c r="A179" i="55"/>
  <c r="A234" i="55"/>
  <c r="A11" i="55"/>
  <c r="A68" i="55"/>
  <c r="A120" i="55"/>
  <c r="A178" i="55"/>
  <c r="A233" i="55"/>
  <c r="A32" i="55"/>
  <c r="A89" i="55"/>
  <c r="A141" i="55"/>
  <c r="V12" i="81"/>
  <c r="W12" i="81"/>
  <c r="X12" i="81"/>
  <c r="P12" i="81"/>
  <c r="Q12" i="81"/>
  <c r="R12" i="81"/>
  <c r="S12" i="81"/>
  <c r="T12" i="81"/>
  <c r="M15" i="62"/>
  <c r="M17" i="62"/>
  <c r="B97" i="29"/>
  <c r="B96" i="29"/>
  <c r="B95" i="29"/>
  <c r="B94" i="29"/>
  <c r="A16" i="21"/>
  <c r="A25" i="21" s="1"/>
  <c r="A15" i="21"/>
  <c r="A24" i="21"/>
  <c r="A14" i="21"/>
  <c r="A23" i="21" s="1"/>
  <c r="A17" i="21"/>
  <c r="A26" i="21"/>
  <c r="A18" i="21"/>
  <c r="A27" i="21" s="1"/>
  <c r="K178" i="72"/>
  <c r="H28" i="69"/>
  <c r="A251" i="53"/>
  <c r="A250" i="53"/>
  <c r="A249" i="53"/>
  <c r="A247" i="53"/>
  <c r="A246" i="53"/>
  <c r="A245" i="53"/>
  <c r="A244" i="53"/>
  <c r="A195" i="53"/>
  <c r="A88" i="53"/>
  <c r="A156" i="53"/>
  <c r="A223" i="53"/>
  <c r="A161" i="53"/>
  <c r="A228" i="53"/>
  <c r="A93" i="53"/>
  <c r="A96" i="53"/>
  <c r="A164" i="53"/>
  <c r="A231" i="53"/>
  <c r="A169" i="53"/>
  <c r="A236" i="53"/>
  <c r="A101" i="53"/>
  <c r="A176" i="53"/>
  <c r="A240" i="53"/>
  <c r="A108" i="53"/>
  <c r="A90" i="53"/>
  <c r="A102" i="83"/>
  <c r="A33" i="53"/>
  <c r="A13" i="84"/>
  <c r="A44" i="84"/>
  <c r="A67" i="84"/>
  <c r="A159" i="53"/>
  <c r="A226" i="53"/>
  <c r="A91" i="53"/>
  <c r="A167" i="53"/>
  <c r="A234" i="53"/>
  <c r="A99" i="53"/>
  <c r="A175" i="53"/>
  <c r="A239" i="53"/>
  <c r="A107" i="53"/>
  <c r="A155" i="53"/>
  <c r="A222" i="53"/>
  <c r="A87" i="53"/>
  <c r="A163" i="53"/>
  <c r="A230" i="53"/>
  <c r="A95" i="53"/>
  <c r="A171" i="53"/>
  <c r="A238" i="53"/>
  <c r="A103" i="53"/>
  <c r="A19" i="55"/>
  <c r="A76" i="55"/>
  <c r="A128" i="55"/>
  <c r="A186" i="55"/>
  <c r="A241" i="55"/>
  <c r="A17" i="84"/>
  <c r="A48" i="84"/>
  <c r="A83" i="84"/>
  <c r="A25" i="84"/>
  <c r="A56" i="84"/>
  <c r="A114" i="84"/>
  <c r="A157" i="53"/>
  <c r="A224" i="53"/>
  <c r="A89" i="53"/>
  <c r="A92" i="53"/>
  <c r="A160" i="53"/>
  <c r="A227" i="53"/>
  <c r="A165" i="53"/>
  <c r="A232" i="53"/>
  <c r="A97" i="53"/>
  <c r="A100" i="53"/>
  <c r="A168" i="53"/>
  <c r="A235" i="53"/>
  <c r="A173" i="53"/>
  <c r="A105" i="53"/>
  <c r="F155" i="53"/>
  <c r="E222" i="53"/>
  <c r="E155" i="53"/>
  <c r="E218" i="53"/>
  <c r="E151" i="53"/>
  <c r="F173" i="53"/>
  <c r="G124" i="53"/>
  <c r="G173" i="53"/>
  <c r="D236" i="53"/>
  <c r="D169" i="53"/>
  <c r="N14" i="81"/>
  <c r="D15" i="81"/>
  <c r="B100" i="81"/>
  <c r="A172" i="53"/>
  <c r="A104" i="53"/>
  <c r="G166" i="53"/>
  <c r="F233" i="53"/>
  <c r="F166" i="53"/>
  <c r="G226" i="53"/>
  <c r="A122" i="83"/>
  <c r="A53" i="53"/>
  <c r="A33" i="84"/>
  <c r="F241" i="53"/>
  <c r="F177" i="53"/>
  <c r="G158" i="53"/>
  <c r="F225" i="53"/>
  <c r="F158" i="53"/>
  <c r="G178" i="53"/>
  <c r="G242" i="53"/>
  <c r="G164" i="53"/>
  <c r="F171" i="53"/>
  <c r="E169" i="53"/>
  <c r="F167" i="53"/>
  <c r="F163" i="53"/>
  <c r="F159" i="53"/>
  <c r="F172" i="53"/>
  <c r="F168" i="53"/>
  <c r="F160" i="53"/>
  <c r="F151" i="53"/>
  <c r="G233" i="53"/>
  <c r="G162" i="53"/>
  <c r="G154" i="53"/>
  <c r="G235" i="53"/>
  <c r="G163" i="53"/>
  <c r="G227" i="53"/>
  <c r="G218" i="53"/>
  <c r="G167" i="53"/>
  <c r="I149" i="84"/>
  <c r="H165" i="84"/>
  <c r="H167" i="84"/>
  <c r="H163" i="84"/>
  <c r="E156" i="53"/>
  <c r="D226" i="53"/>
  <c r="D159" i="53"/>
  <c r="F175" i="53"/>
  <c r="F164" i="53"/>
  <c r="F156" i="53"/>
  <c r="G237" i="53"/>
  <c r="G229" i="53"/>
  <c r="G221" i="53"/>
  <c r="G167" i="84"/>
  <c r="I156" i="84"/>
  <c r="D22" i="104"/>
  <c r="G19" i="91"/>
  <c r="D25" i="42"/>
  <c r="D30" i="42"/>
  <c r="E51" i="61"/>
  <c r="E78" i="101"/>
  <c r="C23" i="83"/>
  <c r="D37" i="83"/>
  <c r="F37" i="83"/>
  <c r="H37" i="83"/>
  <c r="B67" i="83"/>
  <c r="D39" i="83"/>
  <c r="F39" i="83"/>
  <c r="H39" i="83"/>
  <c r="B69" i="83"/>
  <c r="D17" i="83"/>
  <c r="F17" i="83"/>
  <c r="H17" i="83"/>
  <c r="B49" i="83"/>
  <c r="D19" i="83"/>
  <c r="F19" i="83"/>
  <c r="H19" i="83"/>
  <c r="B51" i="83"/>
  <c r="D16" i="83"/>
  <c r="F16" i="83"/>
  <c r="H16" i="83"/>
  <c r="B48" i="83"/>
  <c r="D21" i="83"/>
  <c r="F21" i="83"/>
  <c r="H21" i="83"/>
  <c r="B53" i="83"/>
  <c r="D38" i="83"/>
  <c r="F38" i="83"/>
  <c r="H38" i="83"/>
  <c r="B68" i="83"/>
  <c r="D40" i="83"/>
  <c r="F40" i="83"/>
  <c r="H40" i="83"/>
  <c r="B70" i="83"/>
  <c r="D15" i="83"/>
  <c r="F15" i="83"/>
  <c r="H15" i="83"/>
  <c r="B47" i="83"/>
  <c r="D18" i="83"/>
  <c r="F18" i="83"/>
  <c r="H18" i="83"/>
  <c r="B50" i="83"/>
  <c r="D14" i="83"/>
  <c r="D22" i="83"/>
  <c r="F22" i="83"/>
  <c r="H22" i="83"/>
  <c r="B54" i="83"/>
  <c r="D20" i="83"/>
  <c r="F20" i="83"/>
  <c r="H20" i="83"/>
  <c r="B52" i="83"/>
  <c r="D33" i="83"/>
  <c r="F33" i="83"/>
  <c r="H33" i="83"/>
  <c r="B63" i="83"/>
  <c r="D35" i="83"/>
  <c r="F35" i="83"/>
  <c r="H35" i="83"/>
  <c r="B65" i="83"/>
  <c r="C65" i="83"/>
  <c r="D65" i="83"/>
  <c r="E65" i="83"/>
  <c r="F65" i="83"/>
  <c r="G65" i="83"/>
  <c r="H65" i="83"/>
  <c r="D34" i="83"/>
  <c r="F34" i="83"/>
  <c r="H34" i="83"/>
  <c r="B64" i="83"/>
  <c r="C64" i="83"/>
  <c r="D64" i="83"/>
  <c r="E64" i="83"/>
  <c r="F64" i="83"/>
  <c r="G64" i="83"/>
  <c r="H64" i="83"/>
  <c r="D36" i="83"/>
  <c r="F36" i="83"/>
  <c r="H36" i="83"/>
  <c r="B66" i="83"/>
  <c r="C66" i="83"/>
  <c r="D66" i="83"/>
  <c r="E66" i="83"/>
  <c r="F66" i="83"/>
  <c r="G66" i="83"/>
  <c r="H66" i="83"/>
  <c r="C15" i="100"/>
  <c r="B17" i="68"/>
  <c r="C60" i="98" s="1"/>
  <c r="D73" i="104"/>
  <c r="C8" i="103"/>
  <c r="D21" i="81"/>
  <c r="B106" i="81"/>
  <c r="D18" i="81"/>
  <c r="D17" i="81"/>
  <c r="B102" i="81"/>
  <c r="B105" i="81"/>
  <c r="D16" i="81"/>
  <c r="B101" i="81"/>
  <c r="L9" i="100"/>
  <c r="G9" i="100" s="1"/>
  <c r="D22" i="101"/>
  <c r="L10" i="100"/>
  <c r="G10" i="100" s="1"/>
  <c r="C5" i="96"/>
  <c r="D36" i="94"/>
  <c r="G36" i="94" s="1"/>
  <c r="G11" i="94"/>
  <c r="E15" i="98"/>
  <c r="O11" i="61"/>
  <c r="P11" i="61" s="1"/>
  <c r="A113" i="81"/>
  <c r="A23" i="53"/>
  <c r="A23" i="55"/>
  <c r="A80" i="55"/>
  <c r="A132" i="55"/>
  <c r="A190" i="55"/>
  <c r="A245" i="55"/>
  <c r="A30" i="55"/>
  <c r="A87" i="55"/>
  <c r="A252" i="55"/>
  <c r="A83" i="53"/>
  <c r="A151" i="53"/>
  <c r="A218" i="53"/>
  <c r="A148" i="53"/>
  <c r="A215" i="53"/>
  <c r="A80" i="53"/>
  <c r="A29" i="72"/>
  <c r="A53" i="72"/>
  <c r="A117" i="81"/>
  <c r="A28" i="53"/>
  <c r="A150" i="53"/>
  <c r="A217" i="53"/>
  <c r="A82" i="53"/>
  <c r="A27" i="55"/>
  <c r="A84" i="55"/>
  <c r="A136" i="55"/>
  <c r="A194" i="55"/>
  <c r="A249" i="55"/>
  <c r="A21" i="55"/>
  <c r="A78" i="55"/>
  <c r="A130" i="55"/>
  <c r="A188" i="55"/>
  <c r="A243" i="55"/>
  <c r="A28" i="72"/>
  <c r="A52" i="72"/>
  <c r="A109" i="81"/>
  <c r="A19" i="53"/>
  <c r="A21" i="72"/>
  <c r="A45" i="72"/>
  <c r="A92" i="72"/>
  <c r="A107" i="81"/>
  <c r="A19" i="72"/>
  <c r="A43" i="72"/>
  <c r="A85" i="72"/>
  <c r="A110" i="81"/>
  <c r="A20" i="53"/>
  <c r="A22" i="72"/>
  <c r="A46" i="72"/>
  <c r="A95" i="72"/>
  <c r="A62" i="53"/>
  <c r="A130" i="53"/>
  <c r="A197" i="53"/>
  <c r="A16" i="72"/>
  <c r="A40" i="72"/>
  <c r="A75" i="72"/>
  <c r="A104" i="81"/>
  <c r="A14" i="53"/>
  <c r="A24" i="53"/>
  <c r="A26" i="72"/>
  <c r="A50" i="72"/>
  <c r="A107" i="72"/>
  <c r="A106" i="81"/>
  <c r="A16" i="53"/>
  <c r="A18" i="72"/>
  <c r="A42" i="72"/>
  <c r="A81" i="72"/>
  <c r="A105" i="81"/>
  <c r="A15" i="53"/>
  <c r="A17" i="72"/>
  <c r="A41" i="72"/>
  <c r="A78" i="72"/>
  <c r="A20" i="72"/>
  <c r="A44" i="72"/>
  <c r="A89" i="72"/>
  <c r="A108" i="81"/>
  <c r="A18" i="53"/>
  <c r="A24" i="72"/>
  <c r="A48" i="72"/>
  <c r="A101" i="72"/>
  <c r="A112" i="81"/>
  <c r="A22" i="53"/>
  <c r="A78" i="53"/>
  <c r="A146" i="53"/>
  <c r="A213" i="53"/>
  <c r="A101" i="81"/>
  <c r="A11" i="53"/>
  <c r="A13" i="72"/>
  <c r="A37" i="72"/>
  <c r="A63" i="72"/>
  <c r="A100" i="81"/>
  <c r="A10" i="53"/>
  <c r="A12" i="72"/>
  <c r="A36" i="72"/>
  <c r="A60" i="72"/>
  <c r="A16" i="55"/>
  <c r="A73" i="55"/>
  <c r="A125" i="55"/>
  <c r="A183" i="55"/>
  <c r="A238" i="55"/>
  <c r="A20" i="55"/>
  <c r="A77" i="55"/>
  <c r="A129" i="55"/>
  <c r="A187" i="55"/>
  <c r="A242" i="55"/>
  <c r="A11" i="72"/>
  <c r="A35" i="72"/>
  <c r="A56" i="72"/>
  <c r="A18" i="55"/>
  <c r="A75" i="55"/>
  <c r="A127" i="55"/>
  <c r="A185" i="55"/>
  <c r="A240" i="55"/>
  <c r="A22" i="55"/>
  <c r="A79" i="55"/>
  <c r="A131" i="55"/>
  <c r="A189" i="55"/>
  <c r="A244" i="55"/>
  <c r="A25" i="72"/>
  <c r="A49" i="72"/>
  <c r="A104" i="72"/>
  <c r="A27" i="72"/>
  <c r="A51" i="72"/>
  <c r="J10" i="29"/>
  <c r="I60" i="29"/>
  <c r="J96" i="29"/>
  <c r="C28" i="96"/>
  <c r="J107" i="98"/>
  <c r="G40" i="48"/>
  <c r="G44" i="48"/>
  <c r="D131" i="102"/>
  <c r="E17" i="42"/>
  <c r="E19" i="42"/>
  <c r="D174" i="29"/>
  <c r="E24" i="42"/>
  <c r="F33" i="42"/>
  <c r="F36" i="42"/>
  <c r="F16" i="98"/>
  <c r="F25" i="42"/>
  <c r="G13" i="42"/>
  <c r="F23" i="42"/>
  <c r="F24" i="42"/>
  <c r="D8" i="42"/>
  <c r="E23" i="42"/>
  <c r="E33" i="42"/>
  <c r="E36" i="42"/>
  <c r="E16" i="98"/>
  <c r="E25" i="42"/>
  <c r="D16" i="98"/>
  <c r="F10" i="62"/>
  <c r="G83" i="22"/>
  <c r="G64" i="57"/>
  <c r="V11" i="61"/>
  <c r="E38" i="61"/>
  <c r="F15" i="98"/>
  <c r="F156" i="84"/>
  <c r="G168" i="84"/>
  <c r="G155" i="84"/>
  <c r="D154" i="84"/>
  <c r="D159" i="84"/>
  <c r="D168" i="84"/>
  <c r="D169" i="84"/>
  <c r="F169" i="84"/>
  <c r="F155" i="84"/>
  <c r="G169" i="84"/>
  <c r="E168" i="84"/>
  <c r="E169" i="84"/>
  <c r="F154" i="84"/>
  <c r="E154" i="84"/>
  <c r="E159" i="84"/>
  <c r="F168" i="84"/>
  <c r="G156" i="84"/>
  <c r="I155" i="84"/>
  <c r="H168" i="84"/>
  <c r="H155" i="84"/>
  <c r="H169" i="84"/>
  <c r="I154" i="84"/>
  <c r="I159" i="84"/>
  <c r="I168" i="84"/>
  <c r="I169" i="84"/>
  <c r="H154" i="84"/>
  <c r="E165" i="84"/>
  <c r="G165" i="84"/>
  <c r="V16" i="61"/>
  <c r="G175" i="53"/>
  <c r="F176" i="53"/>
  <c r="E177" i="53"/>
  <c r="E173" i="53"/>
  <c r="D232" i="53"/>
  <c r="D225" i="53"/>
  <c r="D241" i="53"/>
  <c r="D156" i="53"/>
  <c r="E172" i="53"/>
  <c r="E168" i="53"/>
  <c r="E164" i="53"/>
  <c r="E160" i="53"/>
  <c r="D231" i="53"/>
  <c r="D224" i="53"/>
  <c r="D240" i="53"/>
  <c r="A111" i="81"/>
  <c r="A21" i="53"/>
  <c r="A23" i="72"/>
  <c r="A47" i="72"/>
  <c r="A98" i="72"/>
  <c r="A103" i="81"/>
  <c r="A13" i="53"/>
  <c r="A15" i="72"/>
  <c r="A39" i="72"/>
  <c r="A70" i="72"/>
  <c r="A102" i="81"/>
  <c r="A12" i="53"/>
  <c r="A14" i="72"/>
  <c r="A38" i="72"/>
  <c r="A67" i="72"/>
  <c r="A14" i="55"/>
  <c r="A71" i="55"/>
  <c r="A123" i="55"/>
  <c r="A181" i="55"/>
  <c r="A236" i="55"/>
  <c r="D34" i="81"/>
  <c r="D23" i="81"/>
  <c r="D22" i="81"/>
  <c r="B107" i="81"/>
  <c r="J6" i="48"/>
  <c r="L14" i="81"/>
  <c r="J14" i="81"/>
  <c r="B99" i="81"/>
  <c r="C99" i="81"/>
  <c r="K14" i="81"/>
  <c r="B104" i="81"/>
  <c r="F23" i="81"/>
  <c r="H23" i="81"/>
  <c r="B108" i="81"/>
  <c r="F15" i="81"/>
  <c r="H15" i="81"/>
  <c r="M14" i="81"/>
  <c r="F18" i="81"/>
  <c r="H18" i="81"/>
  <c r="B103" i="81"/>
  <c r="C103" i="81"/>
  <c r="F83" i="22"/>
  <c r="G159" i="53"/>
  <c r="G156" i="53"/>
  <c r="G234" i="53"/>
  <c r="F21" i="81"/>
  <c r="H21" i="81"/>
  <c r="D7" i="89"/>
  <c r="F7" i="89"/>
  <c r="G7" i="89"/>
  <c r="H7" i="89"/>
  <c r="F159" i="84"/>
  <c r="F38" i="61"/>
  <c r="F18" i="61"/>
  <c r="G9" i="61" s="1"/>
  <c r="I165" i="84"/>
  <c r="J149" i="84"/>
  <c r="I167" i="84"/>
  <c r="I163" i="84"/>
  <c r="I164" i="84"/>
  <c r="I181" i="84"/>
  <c r="I180" i="84"/>
  <c r="I185" i="84"/>
  <c r="G170" i="53"/>
  <c r="G231" i="53"/>
  <c r="G222" i="53"/>
  <c r="G223" i="53"/>
  <c r="A154" i="53"/>
  <c r="A221" i="53"/>
  <c r="A86" i="53"/>
  <c r="F26" i="99"/>
  <c r="G18" i="61"/>
  <c r="H9" i="61" s="1"/>
  <c r="B119" i="81"/>
  <c r="C119" i="81"/>
  <c r="H159" i="84"/>
  <c r="I39" i="61"/>
  <c r="G159" i="84"/>
  <c r="H124" i="53"/>
  <c r="G243" i="53"/>
  <c r="G205" i="53"/>
  <c r="G172" i="53"/>
  <c r="G224" i="53"/>
  <c r="G232" i="53"/>
  <c r="G240" i="53"/>
  <c r="G214" i="53"/>
  <c r="G157" i="53"/>
  <c r="G165" i="53"/>
  <c r="G151" i="53"/>
  <c r="G160" i="53"/>
  <c r="G168" i="53"/>
  <c r="G176" i="53"/>
  <c r="G219" i="53"/>
  <c r="G177" i="53"/>
  <c r="G228" i="53"/>
  <c r="G152" i="53"/>
  <c r="G236" i="53"/>
  <c r="G161" i="53"/>
  <c r="G169" i="53"/>
  <c r="G265" i="53"/>
  <c r="G266" i="53"/>
  <c r="G268" i="53"/>
  <c r="G267" i="53"/>
  <c r="G155" i="53"/>
  <c r="G171" i="53"/>
  <c r="G225" i="53"/>
  <c r="G241" i="53"/>
  <c r="G238" i="53"/>
  <c r="A174" i="53"/>
  <c r="A106" i="53"/>
  <c r="G239" i="53"/>
  <c r="G230" i="53"/>
  <c r="G174" i="53"/>
  <c r="B38" i="55"/>
  <c r="B95" i="55"/>
  <c r="B147" i="55"/>
  <c r="C49" i="83"/>
  <c r="C63" i="83"/>
  <c r="B39" i="55"/>
  <c r="B96" i="55"/>
  <c r="B148" i="55"/>
  <c r="C50" i="83"/>
  <c r="C53" i="83"/>
  <c r="B42" i="55"/>
  <c r="B99" i="55"/>
  <c r="B151" i="55"/>
  <c r="C69" i="83"/>
  <c r="C68" i="83"/>
  <c r="C52" i="83"/>
  <c r="B41" i="55"/>
  <c r="B98" i="55"/>
  <c r="B150" i="55"/>
  <c r="B36" i="55"/>
  <c r="B93" i="55"/>
  <c r="B145" i="55"/>
  <c r="C47" i="83"/>
  <c r="B37" i="55"/>
  <c r="B94" i="55"/>
  <c r="B146" i="55"/>
  <c r="C48" i="83"/>
  <c r="C67" i="83"/>
  <c r="F14" i="83"/>
  <c r="H14" i="83"/>
  <c r="B46" i="83"/>
  <c r="M14" i="83"/>
  <c r="J14" i="83"/>
  <c r="K14" i="83"/>
  <c r="N14" i="83"/>
  <c r="L14" i="83"/>
  <c r="C54" i="83"/>
  <c r="B43" i="55"/>
  <c r="B100" i="55"/>
  <c r="B152" i="55"/>
  <c r="C70" i="83"/>
  <c r="B40" i="55"/>
  <c r="B97" i="55"/>
  <c r="B149" i="55"/>
  <c r="C51" i="83"/>
  <c r="D25" i="83"/>
  <c r="F25" i="83"/>
  <c r="H25" i="83"/>
  <c r="B56" i="83"/>
  <c r="D27" i="83"/>
  <c r="F27" i="83"/>
  <c r="H27" i="83"/>
  <c r="B58" i="83"/>
  <c r="D29" i="83"/>
  <c r="F29" i="83"/>
  <c r="H29" i="83"/>
  <c r="B60" i="83"/>
  <c r="D31" i="83"/>
  <c r="F31" i="83"/>
  <c r="H31" i="83"/>
  <c r="B62" i="83"/>
  <c r="D24" i="83"/>
  <c r="F24" i="83"/>
  <c r="H24" i="83"/>
  <c r="B55" i="83"/>
  <c r="D26" i="83"/>
  <c r="F26" i="83"/>
  <c r="H26" i="83"/>
  <c r="B57" i="83"/>
  <c r="D30" i="83"/>
  <c r="F30" i="83"/>
  <c r="H30" i="83"/>
  <c r="B61" i="83"/>
  <c r="D28" i="83"/>
  <c r="F28" i="83"/>
  <c r="H28" i="83"/>
  <c r="B59" i="83"/>
  <c r="F17" i="81"/>
  <c r="H17" i="81"/>
  <c r="F16" i="81"/>
  <c r="H16" i="81"/>
  <c r="D21" i="104"/>
  <c r="G16" i="100"/>
  <c r="L16" i="100" s="1"/>
  <c r="F9" i="62"/>
  <c r="O16" i="61"/>
  <c r="E5" i="96"/>
  <c r="A144" i="53"/>
  <c r="A211" i="53"/>
  <c r="A76" i="53"/>
  <c r="B93" i="81"/>
  <c r="C93" i="81"/>
  <c r="D93" i="81"/>
  <c r="E93" i="81"/>
  <c r="F93" i="81"/>
  <c r="A149" i="53"/>
  <c r="A216" i="53"/>
  <c r="A81" i="53"/>
  <c r="A143" i="53"/>
  <c r="A210" i="53"/>
  <c r="A75" i="53"/>
  <c r="A132" i="53"/>
  <c r="A199" i="53"/>
  <c r="A64" i="53"/>
  <c r="A136" i="53"/>
  <c r="A203" i="53"/>
  <c r="A68" i="53"/>
  <c r="A145" i="53"/>
  <c r="A212" i="53"/>
  <c r="A77" i="53"/>
  <c r="A63" i="53"/>
  <c r="A131" i="53"/>
  <c r="A198" i="53"/>
  <c r="A69" i="53"/>
  <c r="A137" i="53"/>
  <c r="A204" i="53"/>
  <c r="A71" i="53"/>
  <c r="A139" i="53"/>
  <c r="A206" i="53"/>
  <c r="A67" i="53"/>
  <c r="A135" i="53"/>
  <c r="A202" i="53"/>
  <c r="A73" i="53"/>
  <c r="A141" i="53"/>
  <c r="A208" i="53"/>
  <c r="A140" i="53"/>
  <c r="A207" i="53"/>
  <c r="A72" i="53"/>
  <c r="F96" i="29"/>
  <c r="E83" i="22"/>
  <c r="E30" i="42"/>
  <c r="D38" i="42"/>
  <c r="D40" i="42"/>
  <c r="D25" i="98"/>
  <c r="F30" i="42"/>
  <c r="F25" i="98"/>
  <c r="E25" i="98"/>
  <c r="F51" i="61"/>
  <c r="G23" i="42"/>
  <c r="G33" i="42"/>
  <c r="G36" i="42"/>
  <c r="G24" i="42"/>
  <c r="H13" i="42"/>
  <c r="G25" i="42"/>
  <c r="D189" i="29"/>
  <c r="E8" i="98"/>
  <c r="E8" i="42"/>
  <c r="D9" i="42"/>
  <c r="F17" i="42"/>
  <c r="F19" i="42"/>
  <c r="C32" i="29"/>
  <c r="D8" i="98"/>
  <c r="E38" i="42"/>
  <c r="E40" i="42"/>
  <c r="H18" i="61"/>
  <c r="I9" i="61"/>
  <c r="C83" i="22"/>
  <c r="D32" i="29"/>
  <c r="C174" i="29"/>
  <c r="C204" i="29"/>
  <c r="C159" i="29"/>
  <c r="C189" i="29"/>
  <c r="D204" i="29"/>
  <c r="D159" i="29"/>
  <c r="G15" i="98"/>
  <c r="H39" i="61"/>
  <c r="E39" i="61"/>
  <c r="F39" i="61"/>
  <c r="E18" i="61"/>
  <c r="F9" i="61" s="1"/>
  <c r="J39" i="61"/>
  <c r="G39" i="61"/>
  <c r="A134" i="53"/>
  <c r="A201" i="53"/>
  <c r="A66" i="53"/>
  <c r="A142" i="53"/>
  <c r="A209" i="53"/>
  <c r="A74" i="53"/>
  <c r="A133" i="53"/>
  <c r="A200" i="53"/>
  <c r="A65" i="53"/>
  <c r="C62" i="53"/>
  <c r="C66" i="53"/>
  <c r="C63" i="53"/>
  <c r="C100" i="81"/>
  <c r="F22" i="81"/>
  <c r="H22" i="81"/>
  <c r="C107" i="81"/>
  <c r="D107" i="81"/>
  <c r="E107" i="81"/>
  <c r="F107" i="81"/>
  <c r="G107" i="81"/>
  <c r="H107" i="81"/>
  <c r="C82" i="53"/>
  <c r="F34" i="81"/>
  <c r="H34" i="81"/>
  <c r="B117" i="81"/>
  <c r="D29" i="81"/>
  <c r="B114" i="81"/>
  <c r="D25" i="81"/>
  <c r="B110" i="81"/>
  <c r="B112" i="81"/>
  <c r="D26" i="81"/>
  <c r="B111" i="81"/>
  <c r="D28" i="81"/>
  <c r="B113" i="81"/>
  <c r="B94" i="81"/>
  <c r="C94" i="81"/>
  <c r="D94" i="81"/>
  <c r="E94" i="81"/>
  <c r="F94" i="81"/>
  <c r="C64" i="53"/>
  <c r="C101" i="81"/>
  <c r="C68" i="53"/>
  <c r="C105" i="81"/>
  <c r="C65" i="53"/>
  <c r="C102" i="81"/>
  <c r="C69" i="53"/>
  <c r="C106" i="81"/>
  <c r="C67" i="53"/>
  <c r="C104" i="81"/>
  <c r="Q11" i="61"/>
  <c r="P16" i="61"/>
  <c r="C113" i="81"/>
  <c r="D113" i="81"/>
  <c r="E113" i="81"/>
  <c r="F113" i="81"/>
  <c r="G113" i="81"/>
  <c r="H113" i="81"/>
  <c r="B115" i="81"/>
  <c r="C114" i="81"/>
  <c r="D114" i="81"/>
  <c r="E114" i="81"/>
  <c r="F114" i="81"/>
  <c r="G114" i="81"/>
  <c r="H114" i="81"/>
  <c r="B116" i="81"/>
  <c r="C116" i="81"/>
  <c r="D116" i="81"/>
  <c r="E116" i="81"/>
  <c r="F116" i="81"/>
  <c r="G116" i="81"/>
  <c r="H116" i="81"/>
  <c r="G273" i="53"/>
  <c r="G18" i="98"/>
  <c r="I124" i="53"/>
  <c r="H205" i="53"/>
  <c r="H243" i="53"/>
  <c r="H155" i="53"/>
  <c r="H163" i="53"/>
  <c r="H171" i="53"/>
  <c r="H218" i="53"/>
  <c r="H227" i="53"/>
  <c r="H235" i="53"/>
  <c r="H172" i="53"/>
  <c r="H223" i="53"/>
  <c r="H176" i="53"/>
  <c r="H231" i="53"/>
  <c r="H214" i="53"/>
  <c r="H151" i="53"/>
  <c r="H239" i="53"/>
  <c r="H160" i="53"/>
  <c r="H168" i="53"/>
  <c r="H268" i="53"/>
  <c r="H265" i="53"/>
  <c r="H267" i="53"/>
  <c r="H266" i="53"/>
  <c r="H170" i="53"/>
  <c r="H159" i="53"/>
  <c r="H225" i="53"/>
  <c r="H221" i="53"/>
  <c r="H241" i="53"/>
  <c r="H228" i="53"/>
  <c r="H238" i="53"/>
  <c r="H222" i="53"/>
  <c r="H165" i="53"/>
  <c r="H174" i="53"/>
  <c r="H167" i="53"/>
  <c r="H161" i="53"/>
  <c r="H232" i="53"/>
  <c r="H178" i="53"/>
  <c r="H237" i="53"/>
  <c r="H175" i="53"/>
  <c r="H234" i="53"/>
  <c r="H169" i="53"/>
  <c r="H152" i="53"/>
  <c r="H166" i="53"/>
  <c r="H240" i="53"/>
  <c r="H224" i="53"/>
  <c r="H156" i="53"/>
  <c r="H226" i="53"/>
  <c r="H229" i="53"/>
  <c r="H164" i="53"/>
  <c r="H177" i="53"/>
  <c r="H233" i="53"/>
  <c r="H162" i="53"/>
  <c r="H242" i="53"/>
  <c r="H236" i="53"/>
  <c r="H219" i="53"/>
  <c r="H173" i="53"/>
  <c r="H230" i="53"/>
  <c r="H157" i="53"/>
  <c r="H154" i="53"/>
  <c r="H158" i="53"/>
  <c r="G14" i="98"/>
  <c r="J165" i="84"/>
  <c r="J167" i="84"/>
  <c r="J163" i="84"/>
  <c r="J155" i="84"/>
  <c r="J164" i="84"/>
  <c r="J181" i="84"/>
  <c r="J180" i="84"/>
  <c r="J185" i="84"/>
  <c r="J154" i="84"/>
  <c r="J169" i="84"/>
  <c r="J168" i="84"/>
  <c r="J156" i="84"/>
  <c r="C62" i="83"/>
  <c r="C40" i="55"/>
  <c r="C97" i="55"/>
  <c r="C149" i="55"/>
  <c r="D51" i="83"/>
  <c r="D67" i="83"/>
  <c r="D68" i="83"/>
  <c r="C61" i="83"/>
  <c r="B50" i="55"/>
  <c r="B107" i="55"/>
  <c r="B159" i="55"/>
  <c r="C60" i="83"/>
  <c r="B49" i="55"/>
  <c r="B106" i="55"/>
  <c r="B158" i="55"/>
  <c r="D54" i="83"/>
  <c r="C43" i="55"/>
  <c r="C100" i="55"/>
  <c r="C152" i="55"/>
  <c r="D53" i="83"/>
  <c r="C42" i="55"/>
  <c r="C99" i="55"/>
  <c r="C151" i="55"/>
  <c r="D63" i="83"/>
  <c r="C59" i="83"/>
  <c r="B48" i="55"/>
  <c r="B105" i="55"/>
  <c r="B157" i="55"/>
  <c r="C36" i="55"/>
  <c r="C93" i="55"/>
  <c r="C145" i="55"/>
  <c r="D47" i="83"/>
  <c r="C57" i="83"/>
  <c r="B46" i="55"/>
  <c r="B103" i="55"/>
  <c r="B155" i="55"/>
  <c r="C58" i="83"/>
  <c r="B47" i="55"/>
  <c r="B104" i="55"/>
  <c r="B156" i="55"/>
  <c r="D70" i="83"/>
  <c r="D48" i="83"/>
  <c r="C37" i="55"/>
  <c r="C94" i="55"/>
  <c r="C146" i="55"/>
  <c r="D69" i="83"/>
  <c r="C39" i="55"/>
  <c r="C96" i="55"/>
  <c r="C148" i="55"/>
  <c r="D50" i="83"/>
  <c r="C38" i="55"/>
  <c r="C95" i="55"/>
  <c r="C147" i="55"/>
  <c r="D49" i="83"/>
  <c r="C55" i="83"/>
  <c r="B44" i="55"/>
  <c r="B101" i="55"/>
  <c r="B153" i="55"/>
  <c r="C56" i="83"/>
  <c r="B45" i="55"/>
  <c r="B102" i="55"/>
  <c r="B154" i="55"/>
  <c r="B35" i="55"/>
  <c r="C46" i="83"/>
  <c r="D52" i="83"/>
  <c r="C41" i="55"/>
  <c r="C98" i="55"/>
  <c r="C150" i="55"/>
  <c r="I20" i="81"/>
  <c r="E16" i="96"/>
  <c r="E6" i="96"/>
  <c r="E7" i="96" s="1"/>
  <c r="E8" i="96" s="1"/>
  <c r="E9" i="96" s="1"/>
  <c r="F5" i="96"/>
  <c r="C6" i="96" s="1"/>
  <c r="H40" i="48"/>
  <c r="H44" i="48"/>
  <c r="G51" i="61"/>
  <c r="I40" i="48"/>
  <c r="I44" i="48"/>
  <c r="H17" i="98"/>
  <c r="F38" i="42"/>
  <c r="F40" i="42"/>
  <c r="G30" i="42"/>
  <c r="H51" i="61"/>
  <c r="F8" i="42"/>
  <c r="E9" i="42"/>
  <c r="G17" i="42"/>
  <c r="G19" i="42"/>
  <c r="G38" i="61"/>
  <c r="H16" i="98"/>
  <c r="I13" i="42"/>
  <c r="E207" i="29"/>
  <c r="E192" i="29"/>
  <c r="E35" i="29"/>
  <c r="E177" i="29"/>
  <c r="E162" i="29"/>
  <c r="G177" i="29"/>
  <c r="G162" i="29"/>
  <c r="G192" i="29"/>
  <c r="C192" i="29"/>
  <c r="F162" i="29"/>
  <c r="F192" i="29"/>
  <c r="F207" i="29"/>
  <c r="F177" i="29"/>
  <c r="F35" i="29"/>
  <c r="D135" i="53"/>
  <c r="D202" i="53"/>
  <c r="D137" i="53"/>
  <c r="D204" i="53"/>
  <c r="F28" i="81"/>
  <c r="H28" i="81"/>
  <c r="D102" i="81"/>
  <c r="D65" i="53"/>
  <c r="F26" i="81"/>
  <c r="H26" i="81"/>
  <c r="D119" i="81"/>
  <c r="D82" i="53"/>
  <c r="D201" i="53"/>
  <c r="D134" i="53"/>
  <c r="D133" i="53"/>
  <c r="D200" i="53"/>
  <c r="D132" i="53"/>
  <c r="D199" i="53"/>
  <c r="C80" i="53"/>
  <c r="C117" i="81"/>
  <c r="D150" i="53"/>
  <c r="D217" i="53"/>
  <c r="B37" i="72"/>
  <c r="D63" i="53"/>
  <c r="D100" i="81"/>
  <c r="D99" i="81"/>
  <c r="D62" i="53"/>
  <c r="D136" i="53"/>
  <c r="D203" i="53"/>
  <c r="F29" i="81"/>
  <c r="H29" i="81"/>
  <c r="D103" i="81"/>
  <c r="D66" i="53"/>
  <c r="D101" i="81"/>
  <c r="D64" i="53"/>
  <c r="D67" i="53"/>
  <c r="D104" i="81"/>
  <c r="D106" i="81"/>
  <c r="D69" i="53"/>
  <c r="D105" i="81"/>
  <c r="D68" i="53"/>
  <c r="C81" i="53"/>
  <c r="C118" i="81"/>
  <c r="F25" i="81"/>
  <c r="H25" i="81"/>
  <c r="B42" i="72"/>
  <c r="D131" i="53"/>
  <c r="D198" i="53"/>
  <c r="D130" i="53"/>
  <c r="D197" i="53"/>
  <c r="B39" i="72"/>
  <c r="Q16" i="61"/>
  <c r="R11" i="61"/>
  <c r="R16" i="61"/>
  <c r="I214" i="53"/>
  <c r="I243" i="53"/>
  <c r="I155" i="53"/>
  <c r="I163" i="53"/>
  <c r="I171" i="53"/>
  <c r="I222" i="53"/>
  <c r="I230" i="53"/>
  <c r="I238" i="53"/>
  <c r="I158" i="53"/>
  <c r="I166" i="53"/>
  <c r="I174" i="53"/>
  <c r="J124" i="53"/>
  <c r="I159" i="53"/>
  <c r="I167" i="53"/>
  <c r="I175" i="53"/>
  <c r="I226" i="53"/>
  <c r="I178" i="53"/>
  <c r="I234" i="53"/>
  <c r="I154" i="53"/>
  <c r="I242" i="53"/>
  <c r="I205" i="53"/>
  <c r="I162" i="53"/>
  <c r="I267" i="53"/>
  <c r="I170" i="53"/>
  <c r="I268" i="53"/>
  <c r="I266" i="53"/>
  <c r="I265" i="53"/>
  <c r="I273" i="53"/>
  <c r="I18" i="98"/>
  <c r="I176" i="53"/>
  <c r="I228" i="53"/>
  <c r="I219" i="53"/>
  <c r="I231" i="53"/>
  <c r="I161" i="53"/>
  <c r="I172" i="53"/>
  <c r="I160" i="53"/>
  <c r="I227" i="53"/>
  <c r="I229" i="53"/>
  <c r="I239" i="53"/>
  <c r="I233" i="53"/>
  <c r="I240" i="53"/>
  <c r="I165" i="53"/>
  <c r="I221" i="53"/>
  <c r="I157" i="53"/>
  <c r="I156" i="53"/>
  <c r="I223" i="53"/>
  <c r="I241" i="53"/>
  <c r="I225" i="53"/>
  <c r="I218" i="53"/>
  <c r="I177" i="53"/>
  <c r="I164" i="53"/>
  <c r="I236" i="53"/>
  <c r="I232" i="53"/>
  <c r="I224" i="53"/>
  <c r="I237" i="53"/>
  <c r="I169" i="53"/>
  <c r="I152" i="53"/>
  <c r="I168" i="53"/>
  <c r="I151" i="53"/>
  <c r="I173" i="53"/>
  <c r="I235" i="53"/>
  <c r="H14" i="98"/>
  <c r="H273" i="53"/>
  <c r="H18" i="98"/>
  <c r="K18" i="61"/>
  <c r="J159" i="84"/>
  <c r="D39" i="55"/>
  <c r="D96" i="55"/>
  <c r="D148" i="55"/>
  <c r="E50" i="83"/>
  <c r="E52" i="83"/>
  <c r="D41" i="55"/>
  <c r="D98" i="55"/>
  <c r="D150" i="55"/>
  <c r="D55" i="83"/>
  <c r="C44" i="55"/>
  <c r="C101" i="55"/>
  <c r="C153" i="55"/>
  <c r="E48" i="83"/>
  <c r="D37" i="55"/>
  <c r="D94" i="55"/>
  <c r="D146" i="55"/>
  <c r="D58" i="83"/>
  <c r="C47" i="55"/>
  <c r="C104" i="55"/>
  <c r="C156" i="55"/>
  <c r="E63" i="83"/>
  <c r="E54" i="83"/>
  <c r="D43" i="55"/>
  <c r="D100" i="55"/>
  <c r="D152" i="55"/>
  <c r="D61" i="83"/>
  <c r="C50" i="55"/>
  <c r="C107" i="55"/>
  <c r="C159" i="55"/>
  <c r="E68" i="83"/>
  <c r="D36" i="55"/>
  <c r="D93" i="55"/>
  <c r="D145" i="55"/>
  <c r="E47" i="83"/>
  <c r="C35" i="55"/>
  <c r="D46" i="83"/>
  <c r="D38" i="55"/>
  <c r="D95" i="55"/>
  <c r="D147" i="55"/>
  <c r="E49" i="83"/>
  <c r="D40" i="55"/>
  <c r="D97" i="55"/>
  <c r="D149" i="55"/>
  <c r="E51" i="83"/>
  <c r="B92" i="55"/>
  <c r="B144" i="55"/>
  <c r="B61" i="55"/>
  <c r="D56" i="83"/>
  <c r="C45" i="55"/>
  <c r="C102" i="55"/>
  <c r="C154" i="55"/>
  <c r="E69" i="83"/>
  <c r="E70" i="83"/>
  <c r="D57" i="83"/>
  <c r="C46" i="55"/>
  <c r="C103" i="55"/>
  <c r="C155" i="55"/>
  <c r="D59" i="83"/>
  <c r="C48" i="55"/>
  <c r="C105" i="55"/>
  <c r="C157" i="55"/>
  <c r="E53" i="83"/>
  <c r="D42" i="55"/>
  <c r="D99" i="55"/>
  <c r="D151" i="55"/>
  <c r="D60" i="83"/>
  <c r="C49" i="55"/>
  <c r="C106" i="55"/>
  <c r="C158" i="55"/>
  <c r="E67" i="83"/>
  <c r="D62" i="83"/>
  <c r="D8" i="92"/>
  <c r="D30" i="99"/>
  <c r="F109" i="99"/>
  <c r="G94" i="81"/>
  <c r="H94" i="81"/>
  <c r="G93" i="81"/>
  <c r="H93" i="81"/>
  <c r="C10" i="68"/>
  <c r="D54" i="98"/>
  <c r="E19" i="94"/>
  <c r="J40" i="48"/>
  <c r="J44" i="48"/>
  <c r="I17" i="98"/>
  <c r="G25" i="98"/>
  <c r="G38" i="42"/>
  <c r="G40" i="42"/>
  <c r="J13" i="42"/>
  <c r="I25" i="42"/>
  <c r="I33" i="42"/>
  <c r="I36" i="42"/>
  <c r="I23" i="42"/>
  <c r="I24" i="42"/>
  <c r="H38" i="61"/>
  <c r="F8" i="98"/>
  <c r="E32" i="29"/>
  <c r="E159" i="29"/>
  <c r="G8" i="42"/>
  <c r="F9" i="42"/>
  <c r="I15" i="98"/>
  <c r="C42" i="72"/>
  <c r="E203" i="53"/>
  <c r="E136" i="53"/>
  <c r="E201" i="53"/>
  <c r="E134" i="53"/>
  <c r="C77" i="53"/>
  <c r="C39" i="72"/>
  <c r="B52" i="72"/>
  <c r="C71" i="53"/>
  <c r="C108" i="81"/>
  <c r="E105" i="81"/>
  <c r="E68" i="53"/>
  <c r="E135" i="53"/>
  <c r="E202" i="53"/>
  <c r="E66" i="53"/>
  <c r="E103" i="81"/>
  <c r="C75" i="53"/>
  <c r="C112" i="81"/>
  <c r="E131" i="53"/>
  <c r="E198" i="53"/>
  <c r="D215" i="53"/>
  <c r="D148" i="53"/>
  <c r="B69" i="72"/>
  <c r="B35" i="72"/>
  <c r="C78" i="53"/>
  <c r="C115" i="81"/>
  <c r="E104" i="81"/>
  <c r="E67" i="53"/>
  <c r="E100" i="81"/>
  <c r="E63" i="53"/>
  <c r="C74" i="53"/>
  <c r="C111" i="81"/>
  <c r="B77" i="72"/>
  <c r="D81" i="53"/>
  <c r="D118" i="81"/>
  <c r="E204" i="53"/>
  <c r="E137" i="53"/>
  <c r="E132" i="53"/>
  <c r="E199" i="53"/>
  <c r="E197" i="53"/>
  <c r="E130" i="53"/>
  <c r="C37" i="72"/>
  <c r="E217" i="53"/>
  <c r="E150" i="53"/>
  <c r="E200" i="53"/>
  <c r="E133" i="53"/>
  <c r="D117" i="81"/>
  <c r="D80" i="53"/>
  <c r="D122" i="104"/>
  <c r="C76" i="53"/>
  <c r="D149" i="53"/>
  <c r="D216" i="53"/>
  <c r="E69" i="53"/>
  <c r="E106" i="81"/>
  <c r="E101" i="81"/>
  <c r="E64" i="53"/>
  <c r="E62" i="53"/>
  <c r="E99" i="81"/>
  <c r="C73" i="53"/>
  <c r="C110" i="81"/>
  <c r="E119" i="81"/>
  <c r="E82" i="53"/>
  <c r="C72" i="53"/>
  <c r="C109" i="81"/>
  <c r="E102" i="81"/>
  <c r="E65" i="53"/>
  <c r="B43" i="72"/>
  <c r="B62" i="72"/>
  <c r="J205" i="53"/>
  <c r="J173" i="53"/>
  <c r="J241" i="53"/>
  <c r="J158" i="53"/>
  <c r="J166" i="53"/>
  <c r="J174" i="53"/>
  <c r="J214" i="53"/>
  <c r="J152" i="53"/>
  <c r="J161" i="53"/>
  <c r="J169" i="53"/>
  <c r="J177" i="53"/>
  <c r="J221" i="53"/>
  <c r="J178" i="53"/>
  <c r="J229" i="53"/>
  <c r="J154" i="53"/>
  <c r="J237" i="53"/>
  <c r="J162" i="53"/>
  <c r="J243" i="53"/>
  <c r="J265" i="53"/>
  <c r="J268" i="53"/>
  <c r="J266" i="53"/>
  <c r="J170" i="53"/>
  <c r="J267" i="53"/>
  <c r="J168" i="53"/>
  <c r="J223" i="53"/>
  <c r="J239" i="53"/>
  <c r="J226" i="53"/>
  <c r="J236" i="53"/>
  <c r="J222" i="53"/>
  <c r="J176" i="53"/>
  <c r="J159" i="53"/>
  <c r="J165" i="53"/>
  <c r="J219" i="53"/>
  <c r="J156" i="53"/>
  <c r="J230" i="53"/>
  <c r="J235" i="53"/>
  <c r="J240" i="53"/>
  <c r="J232" i="53"/>
  <c r="J164" i="53"/>
  <c r="J218" i="53"/>
  <c r="J171" i="53"/>
  <c r="J155" i="53"/>
  <c r="J227" i="53"/>
  <c r="J157" i="53"/>
  <c r="J234" i="53"/>
  <c r="J175" i="53"/>
  <c r="J231" i="53"/>
  <c r="J160" i="53"/>
  <c r="J233" i="53"/>
  <c r="J225" i="53"/>
  <c r="J242" i="53"/>
  <c r="J228" i="53"/>
  <c r="J238" i="53"/>
  <c r="J167" i="53"/>
  <c r="J151" i="53"/>
  <c r="J224" i="53"/>
  <c r="J172" i="53"/>
  <c r="J163" i="53"/>
  <c r="F8" i="92"/>
  <c r="K39" i="61"/>
  <c r="D35" i="55"/>
  <c r="E46" i="83"/>
  <c r="E36" i="55"/>
  <c r="E93" i="55"/>
  <c r="E145" i="55"/>
  <c r="F47" i="83"/>
  <c r="F67" i="83"/>
  <c r="F53" i="83"/>
  <c r="E42" i="55"/>
  <c r="E99" i="55"/>
  <c r="E151" i="55"/>
  <c r="E57" i="83"/>
  <c r="D46" i="55"/>
  <c r="D103" i="55"/>
  <c r="D155" i="55"/>
  <c r="C92" i="55"/>
  <c r="C144" i="55"/>
  <c r="C61" i="55"/>
  <c r="E61" i="83"/>
  <c r="D50" i="55"/>
  <c r="D107" i="55"/>
  <c r="D159" i="55"/>
  <c r="F63" i="83"/>
  <c r="F48" i="83"/>
  <c r="E37" i="55"/>
  <c r="E94" i="55"/>
  <c r="E146" i="55"/>
  <c r="F52" i="83"/>
  <c r="E41" i="55"/>
  <c r="E98" i="55"/>
  <c r="E150" i="55"/>
  <c r="E40" i="55"/>
  <c r="E97" i="55"/>
  <c r="E149" i="55"/>
  <c r="F51" i="83"/>
  <c r="E38" i="55"/>
  <c r="E95" i="55"/>
  <c r="E147" i="55"/>
  <c r="F49" i="83"/>
  <c r="E39" i="55"/>
  <c r="E96" i="55"/>
  <c r="E148" i="55"/>
  <c r="F50" i="83"/>
  <c r="F69" i="83"/>
  <c r="E62" i="83"/>
  <c r="E60" i="83"/>
  <c r="D49" i="55"/>
  <c r="D106" i="55"/>
  <c r="D158" i="55"/>
  <c r="E59" i="83"/>
  <c r="D48" i="55"/>
  <c r="D105" i="55"/>
  <c r="D157" i="55"/>
  <c r="F70" i="83"/>
  <c r="E56" i="83"/>
  <c r="D45" i="55"/>
  <c r="D102" i="55"/>
  <c r="D154" i="55"/>
  <c r="F68" i="83"/>
  <c r="E43" i="55"/>
  <c r="E100" i="55"/>
  <c r="E152" i="55"/>
  <c r="F54" i="83"/>
  <c r="E58" i="83"/>
  <c r="D47" i="55"/>
  <c r="D104" i="55"/>
  <c r="D156" i="55"/>
  <c r="E55" i="83"/>
  <c r="D44" i="55"/>
  <c r="D101" i="55"/>
  <c r="D153" i="55"/>
  <c r="K40" i="48"/>
  <c r="K44" i="48"/>
  <c r="I38" i="61"/>
  <c r="J33" i="42"/>
  <c r="J36" i="42"/>
  <c r="J23" i="42"/>
  <c r="J24" i="42"/>
  <c r="J25" i="42"/>
  <c r="I51" i="61"/>
  <c r="G9" i="42"/>
  <c r="I17" i="42"/>
  <c r="I19" i="42"/>
  <c r="H8" i="42"/>
  <c r="H9" i="42"/>
  <c r="J17" i="42"/>
  <c r="J19" i="42"/>
  <c r="I30" i="42"/>
  <c r="F109" i="104"/>
  <c r="D29" i="104"/>
  <c r="D121" i="104"/>
  <c r="B49" i="72"/>
  <c r="D112" i="81"/>
  <c r="D75" i="53"/>
  <c r="C52" i="72"/>
  <c r="C43" i="72"/>
  <c r="D110" i="81"/>
  <c r="D73" i="53"/>
  <c r="F65" i="53"/>
  <c r="F102" i="81"/>
  <c r="F101" i="81"/>
  <c r="F64" i="53"/>
  <c r="C77" i="72"/>
  <c r="E80" i="53"/>
  <c r="E117" i="81"/>
  <c r="D142" i="53"/>
  <c r="D209" i="53"/>
  <c r="F203" i="53"/>
  <c r="F136" i="53"/>
  <c r="F217" i="53"/>
  <c r="F150" i="53"/>
  <c r="C62" i="72"/>
  <c r="F135" i="53"/>
  <c r="F202" i="53"/>
  <c r="B47" i="72"/>
  <c r="D115" i="81"/>
  <c r="D78" i="53"/>
  <c r="D143" i="53"/>
  <c r="D210" i="53"/>
  <c r="F134" i="53"/>
  <c r="F201" i="53"/>
  <c r="F68" i="53"/>
  <c r="F105" i="81"/>
  <c r="D77" i="53"/>
  <c r="D140" i="53"/>
  <c r="D207" i="53"/>
  <c r="F119" i="81"/>
  <c r="F82" i="53"/>
  <c r="D141" i="53"/>
  <c r="D208" i="53"/>
  <c r="F204" i="53"/>
  <c r="F137" i="53"/>
  <c r="D144" i="53"/>
  <c r="D211" i="53"/>
  <c r="D37" i="72"/>
  <c r="E118" i="81"/>
  <c r="E81" i="53"/>
  <c r="F100" i="81"/>
  <c r="F63" i="53"/>
  <c r="F104" i="81"/>
  <c r="F67" i="53"/>
  <c r="D213" i="53"/>
  <c r="D146" i="53"/>
  <c r="D108" i="81"/>
  <c r="D71" i="53"/>
  <c r="D145" i="53"/>
  <c r="D212" i="53"/>
  <c r="D42" i="72"/>
  <c r="F130" i="53"/>
  <c r="F197" i="53"/>
  <c r="F103" i="81"/>
  <c r="F66" i="53"/>
  <c r="D72" i="53"/>
  <c r="D109" i="81"/>
  <c r="F69" i="53"/>
  <c r="F106" i="81"/>
  <c r="D76" i="53"/>
  <c r="B51" i="72"/>
  <c r="F198" i="53"/>
  <c r="F131" i="53"/>
  <c r="F200" i="53"/>
  <c r="F133" i="53"/>
  <c r="F99" i="81"/>
  <c r="F62" i="53"/>
  <c r="F199" i="53"/>
  <c r="F132" i="53"/>
  <c r="H8" i="92"/>
  <c r="E215" i="53"/>
  <c r="E148" i="53"/>
  <c r="B46" i="72"/>
  <c r="E149" i="53"/>
  <c r="E216" i="53"/>
  <c r="D111" i="81"/>
  <c r="D74" i="53"/>
  <c r="C35" i="72"/>
  <c r="B48" i="72"/>
  <c r="B50" i="72"/>
  <c r="D139" i="53"/>
  <c r="D206" i="53"/>
  <c r="C119" i="53"/>
  <c r="C115" i="53"/>
  <c r="C116" i="53"/>
  <c r="C118" i="53"/>
  <c r="C114" i="53"/>
  <c r="D39" i="72"/>
  <c r="C69" i="72"/>
  <c r="J273" i="53"/>
  <c r="J18" i="98"/>
  <c r="I35" i="29"/>
  <c r="I177" i="29"/>
  <c r="I192" i="29"/>
  <c r="I207" i="29"/>
  <c r="I162" i="29"/>
  <c r="J14" i="98"/>
  <c r="F40" i="55"/>
  <c r="F97" i="55"/>
  <c r="F149" i="55"/>
  <c r="G51" i="83"/>
  <c r="E35" i="55"/>
  <c r="F46" i="83"/>
  <c r="E47" i="55"/>
  <c r="E104" i="55"/>
  <c r="E156" i="55"/>
  <c r="F58" i="83"/>
  <c r="G68" i="83"/>
  <c r="G70" i="83"/>
  <c r="E49" i="55"/>
  <c r="E106" i="55"/>
  <c r="E158" i="55"/>
  <c r="F60" i="83"/>
  <c r="G69" i="83"/>
  <c r="F37" i="55"/>
  <c r="F94" i="55"/>
  <c r="F146" i="55"/>
  <c r="G48" i="83"/>
  <c r="F61" i="83"/>
  <c r="E50" i="55"/>
  <c r="E107" i="55"/>
  <c r="E159" i="55"/>
  <c r="G53" i="83"/>
  <c r="F42" i="55"/>
  <c r="F99" i="55"/>
  <c r="F151" i="55"/>
  <c r="D61" i="55"/>
  <c r="D92" i="55"/>
  <c r="D144" i="55"/>
  <c r="G54" i="83"/>
  <c r="F43" i="55"/>
  <c r="F100" i="55"/>
  <c r="F152" i="55"/>
  <c r="F39" i="55"/>
  <c r="F96" i="55"/>
  <c r="F148" i="55"/>
  <c r="G50" i="83"/>
  <c r="F38" i="55"/>
  <c r="F95" i="55"/>
  <c r="F147" i="55"/>
  <c r="G49" i="83"/>
  <c r="F36" i="55"/>
  <c r="F93" i="55"/>
  <c r="F145" i="55"/>
  <c r="G47" i="83"/>
  <c r="F55" i="83"/>
  <c r="E44" i="55"/>
  <c r="E101" i="55"/>
  <c r="E153" i="55"/>
  <c r="E45" i="55"/>
  <c r="E102" i="55"/>
  <c r="E154" i="55"/>
  <c r="F56" i="83"/>
  <c r="F59" i="83"/>
  <c r="E48" i="55"/>
  <c r="E105" i="55"/>
  <c r="E157" i="55"/>
  <c r="F62" i="83"/>
  <c r="G52" i="83"/>
  <c r="F41" i="55"/>
  <c r="F98" i="55"/>
  <c r="F150" i="55"/>
  <c r="G63" i="83"/>
  <c r="F57" i="83"/>
  <c r="E46" i="55"/>
  <c r="E103" i="55"/>
  <c r="E155" i="55"/>
  <c r="G67" i="83"/>
  <c r="E18" i="103"/>
  <c r="C18" i="103"/>
  <c r="E15" i="103"/>
  <c r="E16" i="103"/>
  <c r="J17" i="98"/>
  <c r="G19" i="97"/>
  <c r="K38" i="61"/>
  <c r="G159" i="29"/>
  <c r="H8" i="98"/>
  <c r="G32" i="29"/>
  <c r="G189" i="29"/>
  <c r="G174" i="29"/>
  <c r="G204" i="29"/>
  <c r="J38" i="61"/>
  <c r="J30" i="42"/>
  <c r="J51" i="61"/>
  <c r="I38" i="42"/>
  <c r="I40" i="42"/>
  <c r="G14" i="97"/>
  <c r="J16" i="98"/>
  <c r="D253" i="53"/>
  <c r="C50" i="72"/>
  <c r="C46" i="72"/>
  <c r="G197" i="53"/>
  <c r="G130" i="53"/>
  <c r="G106" i="81"/>
  <c r="G69" i="53"/>
  <c r="E109" i="81"/>
  <c r="E72" i="53"/>
  <c r="G134" i="53"/>
  <c r="G201" i="53"/>
  <c r="G202" i="53"/>
  <c r="G135" i="53"/>
  <c r="G133" i="53"/>
  <c r="G200" i="53"/>
  <c r="D182" i="53"/>
  <c r="D245" i="53"/>
  <c r="D247" i="53"/>
  <c r="D184" i="53"/>
  <c r="G99" i="81"/>
  <c r="G62" i="53"/>
  <c r="G137" i="53"/>
  <c r="G204" i="53"/>
  <c r="E140" i="53"/>
  <c r="E207" i="53"/>
  <c r="G103" i="81"/>
  <c r="G66" i="53"/>
  <c r="E71" i="53"/>
  <c r="E108" i="81"/>
  <c r="G104" i="81"/>
  <c r="G67" i="53"/>
  <c r="D126" i="55"/>
  <c r="D62" i="72"/>
  <c r="G217" i="53"/>
  <c r="G150" i="53"/>
  <c r="E212" i="53"/>
  <c r="E145" i="53"/>
  <c r="G68" i="53"/>
  <c r="G105" i="81"/>
  <c r="E213" i="53"/>
  <c r="E146" i="53"/>
  <c r="C47" i="72"/>
  <c r="F148" i="53"/>
  <c r="F215" i="53"/>
  <c r="G199" i="53"/>
  <c r="G132" i="53"/>
  <c r="E141" i="53"/>
  <c r="E208" i="53"/>
  <c r="D52" i="72"/>
  <c r="C49" i="72"/>
  <c r="E39" i="72"/>
  <c r="D77" i="72"/>
  <c r="C51" i="72"/>
  <c r="E206" i="53"/>
  <c r="E139" i="53"/>
  <c r="D114" i="53"/>
  <c r="D115" i="53"/>
  <c r="D119" i="53"/>
  <c r="D116" i="53"/>
  <c r="D118" i="53"/>
  <c r="F117" i="81"/>
  <c r="F80" i="53"/>
  <c r="D43" i="72"/>
  <c r="E75" i="53"/>
  <c r="E112" i="81"/>
  <c r="D254" i="53"/>
  <c r="D183" i="53"/>
  <c r="D246" i="53"/>
  <c r="C48" i="72"/>
  <c r="E209" i="53"/>
  <c r="E142" i="53"/>
  <c r="J8" i="92"/>
  <c r="E76" i="53"/>
  <c r="D69" i="72"/>
  <c r="G198" i="53"/>
  <c r="G131" i="53"/>
  <c r="F216" i="53"/>
  <c r="F149" i="53"/>
  <c r="G82" i="53"/>
  <c r="G119" i="81"/>
  <c r="E77" i="53"/>
  <c r="G203" i="53"/>
  <c r="G136" i="53"/>
  <c r="E78" i="53"/>
  <c r="E115" i="81"/>
  <c r="G64" i="53"/>
  <c r="G101" i="81"/>
  <c r="E110" i="81"/>
  <c r="E73" i="53"/>
  <c r="B94" i="72"/>
  <c r="D187" i="53"/>
  <c r="D250" i="53"/>
  <c r="D188" i="53"/>
  <c r="D251" i="53"/>
  <c r="E111" i="81"/>
  <c r="E74" i="53"/>
  <c r="E144" i="53"/>
  <c r="E211" i="53"/>
  <c r="E42" i="72"/>
  <c r="G100" i="81"/>
  <c r="G63" i="53"/>
  <c r="F118" i="81"/>
  <c r="F81" i="53"/>
  <c r="E37" i="72"/>
  <c r="B44" i="72"/>
  <c r="G102" i="81"/>
  <c r="G65" i="53"/>
  <c r="E210" i="53"/>
  <c r="E143" i="53"/>
  <c r="D35" i="72"/>
  <c r="G38" i="55"/>
  <c r="G95" i="55"/>
  <c r="G147" i="55"/>
  <c r="H49" i="83"/>
  <c r="H38" i="55"/>
  <c r="H95" i="55"/>
  <c r="H147" i="55"/>
  <c r="H70" i="83"/>
  <c r="G58" i="83"/>
  <c r="F47" i="55"/>
  <c r="F104" i="55"/>
  <c r="F156" i="55"/>
  <c r="G40" i="55"/>
  <c r="G97" i="55"/>
  <c r="G149" i="55"/>
  <c r="H51" i="83"/>
  <c r="H40" i="55"/>
  <c r="H97" i="55"/>
  <c r="H149" i="55"/>
  <c r="G57" i="83"/>
  <c r="F46" i="55"/>
  <c r="F103" i="55"/>
  <c r="F155" i="55"/>
  <c r="H52" i="83"/>
  <c r="H41" i="55"/>
  <c r="H98" i="55"/>
  <c r="H150" i="55"/>
  <c r="G41" i="55"/>
  <c r="G98" i="55"/>
  <c r="G150" i="55"/>
  <c r="G59" i="83"/>
  <c r="F48" i="55"/>
  <c r="F105" i="55"/>
  <c r="F157" i="55"/>
  <c r="G55" i="83"/>
  <c r="F44" i="55"/>
  <c r="F101" i="55"/>
  <c r="F153" i="55"/>
  <c r="G61" i="83"/>
  <c r="F50" i="55"/>
  <c r="F107" i="55"/>
  <c r="F159" i="55"/>
  <c r="H69" i="83"/>
  <c r="G56" i="83"/>
  <c r="F45" i="55"/>
  <c r="F102" i="55"/>
  <c r="F154" i="55"/>
  <c r="G36" i="55"/>
  <c r="G93" i="55"/>
  <c r="G145" i="55"/>
  <c r="H47" i="83"/>
  <c r="H36" i="55"/>
  <c r="H93" i="55"/>
  <c r="H145" i="55"/>
  <c r="G39" i="55"/>
  <c r="G96" i="55"/>
  <c r="G148" i="55"/>
  <c r="H50" i="83"/>
  <c r="H39" i="55"/>
  <c r="H96" i="55"/>
  <c r="H148" i="55"/>
  <c r="H48" i="83"/>
  <c r="H37" i="55"/>
  <c r="H94" i="55"/>
  <c r="H146" i="55"/>
  <c r="G37" i="55"/>
  <c r="G94" i="55"/>
  <c r="G146" i="55"/>
  <c r="G60" i="83"/>
  <c r="F49" i="55"/>
  <c r="F106" i="55"/>
  <c r="F158" i="55"/>
  <c r="F35" i="55"/>
  <c r="G46" i="83"/>
  <c r="H67" i="83"/>
  <c r="H63" i="83"/>
  <c r="G62" i="83"/>
  <c r="H54" i="83"/>
  <c r="H43" i="55"/>
  <c r="H100" i="55"/>
  <c r="H152" i="55"/>
  <c r="G43" i="55"/>
  <c r="G100" i="55"/>
  <c r="G152" i="55"/>
  <c r="H53" i="83"/>
  <c r="H42" i="55"/>
  <c r="H99" i="55"/>
  <c r="H151" i="55"/>
  <c r="G42" i="55"/>
  <c r="G99" i="55"/>
  <c r="G151" i="55"/>
  <c r="H68" i="83"/>
  <c r="E92" i="55"/>
  <c r="E144" i="55"/>
  <c r="E61" i="55"/>
  <c r="E14" i="103"/>
  <c r="I8" i="98"/>
  <c r="H189" i="29"/>
  <c r="H32" i="29"/>
  <c r="H159" i="29"/>
  <c r="H204" i="29"/>
  <c r="H174" i="29"/>
  <c r="K51" i="61"/>
  <c r="J38" i="42"/>
  <c r="J40" i="42"/>
  <c r="J8" i="98"/>
  <c r="I159" i="29"/>
  <c r="I204" i="29"/>
  <c r="I174" i="29"/>
  <c r="E253" i="53"/>
  <c r="E254" i="53"/>
  <c r="E15" i="61"/>
  <c r="D260" i="53"/>
  <c r="D262" i="53"/>
  <c r="D191" i="53"/>
  <c r="E34" i="61"/>
  <c r="H102" i="81"/>
  <c r="I65" i="53"/>
  <c r="H65" i="53"/>
  <c r="G118" i="81"/>
  <c r="G81" i="53"/>
  <c r="H132" i="53"/>
  <c r="H199" i="53"/>
  <c r="D51" i="72"/>
  <c r="C94" i="72"/>
  <c r="H136" i="53"/>
  <c r="H203" i="53"/>
  <c r="H197" i="53"/>
  <c r="H130" i="53"/>
  <c r="F209" i="53"/>
  <c r="F142" i="53"/>
  <c r="H119" i="81"/>
  <c r="I82" i="53"/>
  <c r="H82" i="53"/>
  <c r="E43" i="72"/>
  <c r="E126" i="55"/>
  <c r="E188" i="53"/>
  <c r="E251" i="53"/>
  <c r="H66" i="53"/>
  <c r="H103" i="81"/>
  <c r="I66" i="53"/>
  <c r="H99" i="81"/>
  <c r="I62" i="53"/>
  <c r="H62" i="53"/>
  <c r="E35" i="72"/>
  <c r="F37" i="72"/>
  <c r="H63" i="53"/>
  <c r="H100" i="81"/>
  <c r="I63" i="53"/>
  <c r="F74" i="53"/>
  <c r="F111" i="81"/>
  <c r="F110" i="81"/>
  <c r="F73" i="53"/>
  <c r="H150" i="53"/>
  <c r="H217" i="53"/>
  <c r="D48" i="72"/>
  <c r="F112" i="81"/>
  <c r="F75" i="53"/>
  <c r="G117" i="81"/>
  <c r="G80" i="53"/>
  <c r="E246" i="53"/>
  <c r="E183" i="53"/>
  <c r="F108" i="81"/>
  <c r="F71" i="53"/>
  <c r="E77" i="72"/>
  <c r="H106" i="81"/>
  <c r="I69" i="53"/>
  <c r="H69" i="53"/>
  <c r="E69" i="72"/>
  <c r="F213" i="53"/>
  <c r="F146" i="53"/>
  <c r="F77" i="53"/>
  <c r="F76" i="53"/>
  <c r="E52" i="72"/>
  <c r="D47" i="72"/>
  <c r="H202" i="53"/>
  <c r="H135" i="53"/>
  <c r="H201" i="53"/>
  <c r="H134" i="53"/>
  <c r="F109" i="81"/>
  <c r="F72" i="53"/>
  <c r="H198" i="53"/>
  <c r="H131" i="53"/>
  <c r="F208" i="53"/>
  <c r="F141" i="53"/>
  <c r="C44" i="72"/>
  <c r="G215" i="53"/>
  <c r="G148" i="53"/>
  <c r="E250" i="53"/>
  <c r="E187" i="53"/>
  <c r="D49" i="72"/>
  <c r="H67" i="53"/>
  <c r="H104" i="81"/>
  <c r="I67" i="53"/>
  <c r="H204" i="53"/>
  <c r="H137" i="53"/>
  <c r="D46" i="72"/>
  <c r="H200" i="53"/>
  <c r="H133" i="53"/>
  <c r="G216" i="53"/>
  <c r="G149" i="53"/>
  <c r="F42" i="72"/>
  <c r="H101" i="81"/>
  <c r="I64" i="53"/>
  <c r="H64" i="53"/>
  <c r="F78" i="53"/>
  <c r="F115" i="81"/>
  <c r="F212" i="53"/>
  <c r="F145" i="53"/>
  <c r="B65" i="55"/>
  <c r="F144" i="53"/>
  <c r="F211" i="53"/>
  <c r="L8" i="92"/>
  <c r="F143" i="53"/>
  <c r="F210" i="53"/>
  <c r="E184" i="53"/>
  <c r="E247" i="53"/>
  <c r="E245" i="53"/>
  <c r="E182" i="53"/>
  <c r="F39" i="72"/>
  <c r="H105" i="81"/>
  <c r="I68" i="53"/>
  <c r="H68" i="53"/>
  <c r="F139" i="53"/>
  <c r="F206" i="53"/>
  <c r="E114" i="53"/>
  <c r="E115" i="53"/>
  <c r="E116" i="53"/>
  <c r="E118" i="53"/>
  <c r="E119" i="53"/>
  <c r="E62" i="72"/>
  <c r="F207" i="53"/>
  <c r="F140" i="53"/>
  <c r="D50" i="72"/>
  <c r="G35" i="55"/>
  <c r="H46" i="83"/>
  <c r="H35" i="55"/>
  <c r="F61" i="55"/>
  <c r="F92" i="55"/>
  <c r="F144" i="55"/>
  <c r="H60" i="83"/>
  <c r="H49" i="55"/>
  <c r="H106" i="55"/>
  <c r="H158" i="55"/>
  <c r="G49" i="55"/>
  <c r="G106" i="55"/>
  <c r="G158" i="55"/>
  <c r="H56" i="83"/>
  <c r="H45" i="55"/>
  <c r="H102" i="55"/>
  <c r="H154" i="55"/>
  <c r="G45" i="55"/>
  <c r="G102" i="55"/>
  <c r="G154" i="55"/>
  <c r="H61" i="83"/>
  <c r="H50" i="55"/>
  <c r="H107" i="55"/>
  <c r="H159" i="55"/>
  <c r="G50" i="55"/>
  <c r="G107" i="55"/>
  <c r="G159" i="55"/>
  <c r="H59" i="83"/>
  <c r="H48" i="55"/>
  <c r="H105" i="55"/>
  <c r="H157" i="55"/>
  <c r="G48" i="55"/>
  <c r="G105" i="55"/>
  <c r="G157" i="55"/>
  <c r="H57" i="83"/>
  <c r="H46" i="55"/>
  <c r="H103" i="55"/>
  <c r="H155" i="55"/>
  <c r="G46" i="55"/>
  <c r="G103" i="55"/>
  <c r="G155" i="55"/>
  <c r="H58" i="83"/>
  <c r="H47" i="55"/>
  <c r="H104" i="55"/>
  <c r="H156" i="55"/>
  <c r="G47" i="55"/>
  <c r="G104" i="55"/>
  <c r="G156" i="55"/>
  <c r="H62" i="83"/>
  <c r="H55" i="83"/>
  <c r="H44" i="55"/>
  <c r="H101" i="55"/>
  <c r="H153" i="55"/>
  <c r="G44" i="55"/>
  <c r="G101" i="55"/>
  <c r="G153" i="55"/>
  <c r="I8" i="92"/>
  <c r="E8" i="92"/>
  <c r="K8" i="92"/>
  <c r="G8" i="92"/>
  <c r="C65" i="55"/>
  <c r="F253" i="53"/>
  <c r="E191" i="53"/>
  <c r="F34" i="61"/>
  <c r="F15" i="61"/>
  <c r="E260" i="53"/>
  <c r="F6" i="61"/>
  <c r="J203" i="53"/>
  <c r="J136" i="53"/>
  <c r="J132" i="53"/>
  <c r="J199" i="53"/>
  <c r="H42" i="72"/>
  <c r="G42" i="72"/>
  <c r="F52" i="72"/>
  <c r="F62" i="72"/>
  <c r="G112" i="81"/>
  <c r="G75" i="53"/>
  <c r="J198" i="53"/>
  <c r="J131" i="53"/>
  <c r="J201" i="53"/>
  <c r="J134" i="53"/>
  <c r="E51" i="72"/>
  <c r="H216" i="53"/>
  <c r="H149" i="53"/>
  <c r="I200" i="53"/>
  <c r="I133" i="53"/>
  <c r="F251" i="53"/>
  <c r="F188" i="53"/>
  <c r="F245" i="53"/>
  <c r="F182" i="53"/>
  <c r="G115" i="81"/>
  <c r="G78" i="53"/>
  <c r="E46" i="72"/>
  <c r="G211" i="53"/>
  <c r="G144" i="53"/>
  <c r="G77" i="53"/>
  <c r="G206" i="53"/>
  <c r="G139" i="53"/>
  <c r="F116" i="53"/>
  <c r="F115" i="53"/>
  <c r="F114" i="53"/>
  <c r="F118" i="53"/>
  <c r="F119" i="53"/>
  <c r="F126" i="55"/>
  <c r="H215" i="53"/>
  <c r="H148" i="53"/>
  <c r="G208" i="53"/>
  <c r="G141" i="53"/>
  <c r="G111" i="81"/>
  <c r="G74" i="53"/>
  <c r="I131" i="53"/>
  <c r="I198" i="53"/>
  <c r="I201" i="53"/>
  <c r="I134" i="53"/>
  <c r="F35" i="72"/>
  <c r="H81" i="53"/>
  <c r="H118" i="81"/>
  <c r="I81" i="53"/>
  <c r="J200" i="53"/>
  <c r="J133" i="53"/>
  <c r="H39" i="72"/>
  <c r="G39" i="72"/>
  <c r="F187" i="53"/>
  <c r="F250" i="53"/>
  <c r="D94" i="72"/>
  <c r="G146" i="53"/>
  <c r="G213" i="53"/>
  <c r="J202" i="53"/>
  <c r="J135" i="53"/>
  <c r="E49" i="72"/>
  <c r="E47" i="72"/>
  <c r="G76" i="53"/>
  <c r="G212" i="53"/>
  <c r="G145" i="53"/>
  <c r="I204" i="53"/>
  <c r="I137" i="53"/>
  <c r="G108" i="81"/>
  <c r="G71" i="53"/>
  <c r="H117" i="81"/>
  <c r="I80" i="53"/>
  <c r="H80" i="53"/>
  <c r="E48" i="72"/>
  <c r="G73" i="53"/>
  <c r="G110" i="81"/>
  <c r="G142" i="53"/>
  <c r="G209" i="53"/>
  <c r="I197" i="53"/>
  <c r="I130" i="53"/>
  <c r="I150" i="53"/>
  <c r="I217" i="53"/>
  <c r="F69" i="72"/>
  <c r="E259" i="53"/>
  <c r="F183" i="53"/>
  <c r="F246" i="53"/>
  <c r="G109" i="81"/>
  <c r="G72" i="53"/>
  <c r="D44" i="72"/>
  <c r="F77" i="72"/>
  <c r="F254" i="53"/>
  <c r="E50" i="72"/>
  <c r="F247" i="53"/>
  <c r="F184" i="53"/>
  <c r="I203" i="53"/>
  <c r="I136" i="53"/>
  <c r="I132" i="53"/>
  <c r="I199" i="53"/>
  <c r="I135" i="53"/>
  <c r="I202" i="53"/>
  <c r="G207" i="53"/>
  <c r="G140" i="53"/>
  <c r="E44" i="72"/>
  <c r="J204" i="53"/>
  <c r="J137" i="53"/>
  <c r="G143" i="53"/>
  <c r="G210" i="53"/>
  <c r="G37" i="72"/>
  <c r="H37" i="72"/>
  <c r="J197" i="53"/>
  <c r="J130" i="53"/>
  <c r="F43" i="72"/>
  <c r="J150" i="53"/>
  <c r="J217" i="53"/>
  <c r="C34" i="29"/>
  <c r="C176" i="29"/>
  <c r="E47" i="61"/>
  <c r="D274" i="53"/>
  <c r="D276" i="53"/>
  <c r="H92" i="55"/>
  <c r="H144" i="55"/>
  <c r="H61" i="55"/>
  <c r="G92" i="55"/>
  <c r="G144" i="55"/>
  <c r="G61" i="55"/>
  <c r="C161" i="29"/>
  <c r="D10" i="98"/>
  <c r="G6" i="61"/>
  <c r="F259" i="53"/>
  <c r="G15" i="61"/>
  <c r="H6" i="61"/>
  <c r="E262" i="53"/>
  <c r="E274" i="53"/>
  <c r="E276" i="53"/>
  <c r="F191" i="53"/>
  <c r="G253" i="53"/>
  <c r="G34" i="61"/>
  <c r="H206" i="53"/>
  <c r="H139" i="53"/>
  <c r="G118" i="53"/>
  <c r="G114" i="53"/>
  <c r="G119" i="53"/>
  <c r="G116" i="53"/>
  <c r="G115" i="53"/>
  <c r="H209" i="53"/>
  <c r="H142" i="53"/>
  <c r="G77" i="72"/>
  <c r="H141" i="53"/>
  <c r="H208" i="53"/>
  <c r="F48" i="72"/>
  <c r="H126" i="55"/>
  <c r="H108" i="81"/>
  <c r="I71" i="53"/>
  <c r="H71" i="53"/>
  <c r="H111" i="81"/>
  <c r="I74" i="53"/>
  <c r="H74" i="53"/>
  <c r="G187" i="53"/>
  <c r="G250" i="53"/>
  <c r="H62" i="72"/>
  <c r="F46" i="72"/>
  <c r="E94" i="72"/>
  <c r="F51" i="72"/>
  <c r="H35" i="72"/>
  <c r="H75" i="53"/>
  <c r="H112" i="81"/>
  <c r="I75" i="53"/>
  <c r="H69" i="72"/>
  <c r="F49" i="72"/>
  <c r="H145" i="53"/>
  <c r="H212" i="53"/>
  <c r="G35" i="72"/>
  <c r="F44" i="72"/>
  <c r="H77" i="72"/>
  <c r="I215" i="53"/>
  <c r="I148" i="53"/>
  <c r="H211" i="53"/>
  <c r="H144" i="53"/>
  <c r="G245" i="53"/>
  <c r="G182" i="53"/>
  <c r="G254" i="53"/>
  <c r="G62" i="72"/>
  <c r="H213" i="53"/>
  <c r="H146" i="53"/>
  <c r="H52" i="72"/>
  <c r="G52" i="72"/>
  <c r="H43" i="72"/>
  <c r="G43" i="72"/>
  <c r="H72" i="53"/>
  <c r="H109" i="81"/>
  <c r="I72" i="53"/>
  <c r="H110" i="81"/>
  <c r="I73" i="53"/>
  <c r="H73" i="53"/>
  <c r="G126" i="55"/>
  <c r="F47" i="72"/>
  <c r="I149" i="53"/>
  <c r="I216" i="53"/>
  <c r="D65" i="55"/>
  <c r="G251" i="53"/>
  <c r="G188" i="53"/>
  <c r="G247" i="53"/>
  <c r="G184" i="53"/>
  <c r="H210" i="53"/>
  <c r="H143" i="53"/>
  <c r="G69" i="72"/>
  <c r="F50" i="72"/>
  <c r="H207" i="53"/>
  <c r="H140" i="53"/>
  <c r="J215" i="53"/>
  <c r="J148" i="53"/>
  <c r="H76" i="53"/>
  <c r="I76" i="53"/>
  <c r="J216" i="53"/>
  <c r="J149" i="53"/>
  <c r="G183" i="53"/>
  <c r="G246" i="53"/>
  <c r="I77" i="53"/>
  <c r="H77" i="53"/>
  <c r="H115" i="81"/>
  <c r="I78" i="53"/>
  <c r="H78" i="53"/>
  <c r="D34" i="29"/>
  <c r="D191" i="29"/>
  <c r="D7" i="98"/>
  <c r="F260" i="53"/>
  <c r="D161" i="29"/>
  <c r="F47" i="61"/>
  <c r="F262" i="53"/>
  <c r="E27" i="98"/>
  <c r="G191" i="53"/>
  <c r="G10" i="98"/>
  <c r="H15" i="61"/>
  <c r="I6" i="61"/>
  <c r="J212" i="53"/>
  <c r="J145" i="53"/>
  <c r="J141" i="53"/>
  <c r="J208" i="53"/>
  <c r="J206" i="53"/>
  <c r="J139" i="53"/>
  <c r="I116" i="53"/>
  <c r="I115" i="53"/>
  <c r="I114" i="53"/>
  <c r="I119" i="53"/>
  <c r="I118" i="53"/>
  <c r="H47" i="72"/>
  <c r="G47" i="72"/>
  <c r="E65" i="55"/>
  <c r="J210" i="53"/>
  <c r="J143" i="53"/>
  <c r="H51" i="72"/>
  <c r="G51" i="72"/>
  <c r="H246" i="53"/>
  <c r="H183" i="53"/>
  <c r="H182" i="53"/>
  <c r="H245" i="53"/>
  <c r="G259" i="53"/>
  <c r="G46" i="72"/>
  <c r="H46" i="72"/>
  <c r="J209" i="53"/>
  <c r="J142" i="53"/>
  <c r="H48" i="72"/>
  <c r="G48" i="72"/>
  <c r="H188" i="53"/>
  <c r="H251" i="53"/>
  <c r="G44" i="72"/>
  <c r="H44" i="72"/>
  <c r="I210" i="53"/>
  <c r="I143" i="53"/>
  <c r="H254" i="53"/>
  <c r="H187" i="53"/>
  <c r="H250" i="53"/>
  <c r="I144" i="53"/>
  <c r="I211" i="53"/>
  <c r="G50" i="72"/>
  <c r="H50" i="72"/>
  <c r="I140" i="53"/>
  <c r="I207" i="53"/>
  <c r="F94" i="72"/>
  <c r="H253" i="53"/>
  <c r="I213" i="53"/>
  <c r="I146" i="53"/>
  <c r="J213" i="53"/>
  <c r="J146" i="53"/>
  <c r="I212" i="53"/>
  <c r="I145" i="53"/>
  <c r="J211" i="53"/>
  <c r="J144" i="53"/>
  <c r="I141" i="53"/>
  <c r="I208" i="53"/>
  <c r="J207" i="53"/>
  <c r="J140" i="53"/>
  <c r="H49" i="72"/>
  <c r="G49" i="72"/>
  <c r="I209" i="53"/>
  <c r="I142" i="53"/>
  <c r="I206" i="53"/>
  <c r="I139" i="53"/>
  <c r="H119" i="53"/>
  <c r="H116" i="53"/>
  <c r="H118" i="53"/>
  <c r="H114" i="53"/>
  <c r="H115" i="53"/>
  <c r="H247" i="53"/>
  <c r="H184" i="53"/>
  <c r="C203" i="29"/>
  <c r="C173" i="29"/>
  <c r="C188" i="29"/>
  <c r="C158" i="29"/>
  <c r="C31" i="29"/>
  <c r="E7" i="98"/>
  <c r="F274" i="53"/>
  <c r="F276" i="53"/>
  <c r="G47" i="61"/>
  <c r="H34" i="61"/>
  <c r="H191" i="53"/>
  <c r="I34" i="61"/>
  <c r="G260" i="53"/>
  <c r="G262" i="53"/>
  <c r="I253" i="53"/>
  <c r="I15" i="61"/>
  <c r="H260" i="53"/>
  <c r="J254" i="53"/>
  <c r="F7" i="98"/>
  <c r="G6" i="98"/>
  <c r="J253" i="53"/>
  <c r="I184" i="53"/>
  <c r="I247" i="53"/>
  <c r="G94" i="72"/>
  <c r="J245" i="53"/>
  <c r="J182" i="53"/>
  <c r="I188" i="53"/>
  <c r="I251" i="53"/>
  <c r="I250" i="53"/>
  <c r="I187" i="53"/>
  <c r="J187" i="53"/>
  <c r="J250" i="53"/>
  <c r="J246" i="53"/>
  <c r="J183" i="53"/>
  <c r="D188" i="29"/>
  <c r="D158" i="29"/>
  <c r="D173" i="29"/>
  <c r="D31" i="29"/>
  <c r="D203" i="29"/>
  <c r="H259" i="53"/>
  <c r="I245" i="53"/>
  <c r="I182" i="53"/>
  <c r="F65" i="55"/>
  <c r="I246" i="53"/>
  <c r="I183" i="53"/>
  <c r="I254" i="53"/>
  <c r="H94" i="72"/>
  <c r="F6" i="98"/>
  <c r="D186" i="84"/>
  <c r="D188" i="84"/>
  <c r="E52" i="61"/>
  <c r="J251" i="53"/>
  <c r="J188" i="53"/>
  <c r="J247" i="53"/>
  <c r="J184" i="53"/>
  <c r="F176" i="29"/>
  <c r="F191" i="29"/>
  <c r="F161" i="29"/>
  <c r="F34" i="29"/>
  <c r="F206" i="29"/>
  <c r="G65" i="55"/>
  <c r="G161" i="29"/>
  <c r="J6" i="61"/>
  <c r="I259" i="53"/>
  <c r="G27" i="98"/>
  <c r="G274" i="53"/>
  <c r="G276" i="53"/>
  <c r="H47" i="61"/>
  <c r="I191" i="53"/>
  <c r="J34" i="61"/>
  <c r="J191" i="53"/>
  <c r="K15" i="61"/>
  <c r="J260" i="53"/>
  <c r="H262" i="53"/>
  <c r="H27" i="98"/>
  <c r="J15" i="61"/>
  <c r="K6" i="61"/>
  <c r="E186" i="84"/>
  <c r="E188" i="84" s="1"/>
  <c r="F172" i="29"/>
  <c r="F187" i="29"/>
  <c r="F202" i="29"/>
  <c r="F157" i="29"/>
  <c r="F30" i="29"/>
  <c r="G191" i="29"/>
  <c r="G34" i="29"/>
  <c r="E30" i="29"/>
  <c r="E187" i="29"/>
  <c r="E157" i="29"/>
  <c r="E202" i="29"/>
  <c r="E172" i="29"/>
  <c r="H65" i="55"/>
  <c r="E203" i="29"/>
  <c r="E173" i="29"/>
  <c r="E188" i="29"/>
  <c r="E31" i="29"/>
  <c r="E158" i="29"/>
  <c r="G206" i="29"/>
  <c r="H10" i="98"/>
  <c r="D70" i="98"/>
  <c r="G176" i="29"/>
  <c r="K34" i="61"/>
  <c r="I260" i="53"/>
  <c r="I262" i="53"/>
  <c r="H274" i="53"/>
  <c r="H276" i="53"/>
  <c r="F52" i="61"/>
  <c r="I47" i="61"/>
  <c r="G52" i="61"/>
  <c r="F186" i="84"/>
  <c r="F188" i="84" s="1"/>
  <c r="J259" i="53"/>
  <c r="J262" i="53"/>
  <c r="H6" i="98"/>
  <c r="F188" i="29"/>
  <c r="F173" i="29"/>
  <c r="F203" i="29"/>
  <c r="H206" i="29"/>
  <c r="H34" i="29"/>
  <c r="J47" i="61"/>
  <c r="I274" i="53"/>
  <c r="I276" i="53"/>
  <c r="K47" i="61"/>
  <c r="J27" i="98"/>
  <c r="J274" i="53"/>
  <c r="J276" i="53"/>
  <c r="E9" i="97"/>
  <c r="G202" i="29"/>
  <c r="G187" i="29"/>
  <c r="G172" i="29"/>
  <c r="H30" i="29"/>
  <c r="G186" i="84"/>
  <c r="G188" i="84"/>
  <c r="H52" i="61"/>
  <c r="J6" i="98"/>
  <c r="I7" i="98"/>
  <c r="J7" i="98"/>
  <c r="F70" i="98"/>
  <c r="I30" i="29"/>
  <c r="I202" i="29"/>
  <c r="I187" i="29"/>
  <c r="I157" i="29"/>
  <c r="I172" i="29"/>
  <c r="H188" i="29"/>
  <c r="H158" i="29"/>
  <c r="H31" i="29"/>
  <c r="H173" i="29"/>
  <c r="H203" i="29"/>
  <c r="I203" i="29"/>
  <c r="I173" i="29"/>
  <c r="I158" i="29"/>
  <c r="I31" i="29"/>
  <c r="I188" i="29"/>
  <c r="E70" i="98"/>
  <c r="J52" i="61"/>
  <c r="G70" i="98"/>
  <c r="H70" i="98"/>
  <c r="J70" i="98"/>
  <c r="I70" i="98"/>
  <c r="G30" i="29" l="1"/>
  <c r="H176" i="29"/>
  <c r="I10" i="98"/>
  <c r="F31" i="29"/>
  <c r="E10" i="98"/>
  <c r="C206" i="29"/>
  <c r="I32" i="29"/>
  <c r="E14" i="97"/>
  <c r="E189" i="29"/>
  <c r="G207" i="29"/>
  <c r="H161" i="29"/>
  <c r="F158" i="29"/>
  <c r="D176" i="29"/>
  <c r="D6" i="98"/>
  <c r="E174" i="29"/>
  <c r="D187" i="29"/>
  <c r="C202" i="29"/>
  <c r="G9" i="97"/>
  <c r="H207" i="29"/>
  <c r="C177" i="29"/>
  <c r="G31" i="29"/>
  <c r="I34" i="29"/>
  <c r="H7" i="98"/>
  <c r="D202" i="29"/>
  <c r="F189" i="29"/>
  <c r="D177" i="29"/>
  <c r="H33" i="98"/>
  <c r="H10" i="29"/>
  <c r="G173" i="29"/>
  <c r="I191" i="29"/>
  <c r="E206" i="29"/>
  <c r="F14" i="97"/>
  <c r="G8" i="98"/>
  <c r="H96" i="29"/>
  <c r="H172" i="29"/>
  <c r="G203" i="29"/>
  <c r="I206" i="29"/>
  <c r="E161" i="29"/>
  <c r="D157" i="29"/>
  <c r="C30" i="29"/>
  <c r="F204" i="29"/>
  <c r="H35" i="29"/>
  <c r="H192" i="29"/>
  <c r="D207" i="29"/>
  <c r="C162" i="29"/>
  <c r="H60" i="29"/>
  <c r="H157" i="29"/>
  <c r="H202" i="29"/>
  <c r="G158" i="29"/>
  <c r="I176" i="29"/>
  <c r="J10" i="98"/>
  <c r="E34" i="29"/>
  <c r="E191" i="29"/>
  <c r="D30" i="29"/>
  <c r="F159" i="29"/>
  <c r="H162" i="29"/>
  <c r="D35" i="29"/>
  <c r="D192" i="29"/>
  <c r="C35" i="29"/>
  <c r="I10" i="29"/>
  <c r="H187" i="29"/>
  <c r="E176" i="29"/>
  <c r="D172" i="29"/>
  <c r="C172" i="29"/>
  <c r="C157" i="29"/>
  <c r="F32" i="29"/>
  <c r="I96" i="29"/>
  <c r="G11" i="23"/>
  <c r="F19" i="21"/>
  <c r="I52" i="61"/>
  <c r="H186" i="84"/>
  <c r="H188" i="84" s="1"/>
  <c r="F27" i="48"/>
  <c r="G27" i="48"/>
  <c r="K27" i="48"/>
  <c r="H27" i="48"/>
  <c r="I27" i="48"/>
  <c r="J27" i="48"/>
  <c r="E27" i="48"/>
  <c r="D43" i="102"/>
  <c r="F23" i="48"/>
  <c r="G23" i="48"/>
  <c r="J23" i="48"/>
  <c r="E23" i="48"/>
  <c r="H23" i="48"/>
  <c r="I23" i="48"/>
  <c r="K23" i="48"/>
  <c r="K52" i="61"/>
  <c r="F6" i="96"/>
  <c r="C7" i="96" s="1"/>
  <c r="F7" i="96" s="1"/>
  <c r="C8" i="96" s="1"/>
  <c r="F8" i="96" s="1"/>
  <c r="C9" i="96" s="1"/>
  <c r="F9" i="96" s="1"/>
  <c r="F60" i="29"/>
  <c r="G8" i="94"/>
  <c r="J18" i="61"/>
  <c r="K9" i="61" s="1"/>
  <c r="G18" i="100"/>
  <c r="L18" i="100" s="1"/>
  <c r="E21" i="48"/>
  <c r="J21" i="48"/>
  <c r="H24" i="48"/>
  <c r="J8" i="48"/>
  <c r="G10" i="57"/>
  <c r="D5" i="62" s="1"/>
  <c r="J186" i="84"/>
  <c r="J188" i="84" s="1"/>
  <c r="D33" i="94"/>
  <c r="G33" i="94" s="1"/>
  <c r="G96" i="29"/>
  <c r="D40" i="102"/>
  <c r="G44" i="91"/>
  <c r="E24" i="48"/>
  <c r="K21" i="48"/>
  <c r="J24" i="48"/>
  <c r="G191" i="72"/>
  <c r="H17" i="61" s="1"/>
  <c r="I186" i="84"/>
  <c r="I188" i="84" s="1"/>
  <c r="G10" i="29"/>
  <c r="D35" i="94"/>
  <c r="G35" i="94" s="1"/>
  <c r="I18" i="61"/>
  <c r="J9" i="61" s="1"/>
  <c r="J5" i="48"/>
  <c r="H21" i="48"/>
  <c r="F98" i="57"/>
  <c r="D8" i="62" s="1"/>
  <c r="C51" i="22"/>
  <c r="D10" i="29"/>
  <c r="D96" i="29"/>
  <c r="D33" i="98"/>
  <c r="E10" i="96"/>
  <c r="C60" i="29"/>
  <c r="F33" i="98"/>
  <c r="E60" i="29"/>
  <c r="F10" i="29"/>
  <c r="G46" i="91"/>
  <c r="G52" i="91" s="1"/>
  <c r="G74" i="91" s="1"/>
  <c r="F8" i="61"/>
  <c r="E197" i="72" s="1"/>
  <c r="D198" i="72"/>
  <c r="D200" i="72" s="1"/>
  <c r="C45" i="22"/>
  <c r="C18" i="68"/>
  <c r="D61" i="98" s="1"/>
  <c r="F22" i="48"/>
  <c r="H22" i="48"/>
  <c r="G22" i="48"/>
  <c r="C19" i="68"/>
  <c r="D62" i="98" s="1"/>
  <c r="C57" i="22"/>
  <c r="F283" i="55"/>
  <c r="G16" i="61" s="1"/>
  <c r="H283" i="55"/>
  <c r="I16" i="61" s="1"/>
  <c r="E283" i="55"/>
  <c r="F16" i="61" s="1"/>
  <c r="I283" i="55"/>
  <c r="J16" i="61" s="1"/>
  <c r="J283" i="55"/>
  <c r="K16" i="61" s="1"/>
  <c r="D283" i="55"/>
  <c r="E16" i="61" s="1"/>
  <c r="G283" i="55"/>
  <c r="H16" i="61" s="1"/>
  <c r="F24" i="48"/>
  <c r="G24" i="48"/>
  <c r="I24" i="48"/>
  <c r="J12" i="48"/>
  <c r="C28" i="48"/>
  <c r="C26" i="48"/>
  <c r="J10" i="48"/>
  <c r="J45" i="57"/>
  <c r="G54" i="57"/>
  <c r="I8" i="61"/>
  <c r="H197" i="72" s="1"/>
  <c r="G198" i="72"/>
  <c r="D52" i="22"/>
  <c r="C33" i="48"/>
  <c r="C25" i="48"/>
  <c r="J9" i="48"/>
  <c r="K51" i="22"/>
  <c r="H191" i="72"/>
  <c r="I17" i="61" s="1"/>
  <c r="I191" i="72"/>
  <c r="J17" i="61" s="1"/>
  <c r="F191" i="72"/>
  <c r="G17" i="61" s="1"/>
  <c r="J191" i="72"/>
  <c r="K17" i="61" s="1"/>
  <c r="J198" i="72" s="1"/>
  <c r="G42" i="57"/>
  <c r="E191" i="72"/>
  <c r="F17" i="61" s="1"/>
  <c r="D82" i="22"/>
  <c r="C21" i="68"/>
  <c r="D12" i="23" l="1"/>
  <c r="C52" i="22"/>
  <c r="F52" i="22"/>
  <c r="G52" i="22"/>
  <c r="E20" i="95"/>
  <c r="I52" i="22"/>
  <c r="E52" i="22"/>
  <c r="H52" i="22"/>
  <c r="G66" i="57"/>
  <c r="D6" i="62" s="1"/>
  <c r="I5" i="62" s="1"/>
  <c r="F8" i="62"/>
  <c r="G17" i="100"/>
  <c r="L17" i="100" s="1"/>
  <c r="D34" i="94"/>
  <c r="G34" i="94" s="1"/>
  <c r="G10" i="94"/>
  <c r="C33" i="22"/>
  <c r="F5" i="62"/>
  <c r="C16" i="68"/>
  <c r="D31" i="94"/>
  <c r="G6" i="94"/>
  <c r="K52" i="22"/>
  <c r="K53" i="22" s="1"/>
  <c r="K54" i="22"/>
  <c r="L51" i="22" s="1"/>
  <c r="H8" i="61"/>
  <c r="G197" i="72" s="1"/>
  <c r="F198" i="72"/>
  <c r="F26" i="48"/>
  <c r="H26" i="48"/>
  <c r="G26" i="48"/>
  <c r="K26" i="48"/>
  <c r="E26" i="48"/>
  <c r="I26" i="48"/>
  <c r="J26" i="48"/>
  <c r="D42" i="102"/>
  <c r="J288" i="55"/>
  <c r="K21" i="61"/>
  <c r="K42" i="61" s="1"/>
  <c r="H10" i="69" s="1"/>
  <c r="F288" i="55"/>
  <c r="G21" i="61"/>
  <c r="G42" i="61" s="1"/>
  <c r="D10" i="69" s="1"/>
  <c r="H7" i="61"/>
  <c r="H12" i="61" s="1"/>
  <c r="E50" i="61"/>
  <c r="B15" i="21"/>
  <c r="D24" i="98" s="1"/>
  <c r="D209" i="72"/>
  <c r="D211" i="72" s="1"/>
  <c r="D213" i="72" s="1"/>
  <c r="C37" i="21"/>
  <c r="D83" i="22"/>
  <c r="F33" i="48"/>
  <c r="G33" i="48"/>
  <c r="I33" i="48"/>
  <c r="E33" i="48"/>
  <c r="H33" i="48"/>
  <c r="K33" i="48"/>
  <c r="J33" i="48"/>
  <c r="E21" i="61"/>
  <c r="E42" i="61" s="1"/>
  <c r="B10" i="69" s="1"/>
  <c r="D288" i="55"/>
  <c r="F7" i="61"/>
  <c r="F12" i="61" s="1"/>
  <c r="E198" i="72"/>
  <c r="E200" i="72" s="1"/>
  <c r="G8" i="61"/>
  <c r="F197" i="72" s="1"/>
  <c r="I198" i="72"/>
  <c r="K8" i="61"/>
  <c r="J197" i="72" s="1"/>
  <c r="J200" i="72" s="1"/>
  <c r="G200" i="72"/>
  <c r="F28" i="48"/>
  <c r="G28" i="48"/>
  <c r="I28" i="48"/>
  <c r="H28" i="48"/>
  <c r="J28" i="48"/>
  <c r="K28" i="48"/>
  <c r="E28" i="48"/>
  <c r="D44" i="102"/>
  <c r="J21" i="61"/>
  <c r="J42" i="61" s="1"/>
  <c r="G10" i="69" s="1"/>
  <c r="I288" i="55"/>
  <c r="K7" i="61"/>
  <c r="C58" i="22"/>
  <c r="C59" i="22" s="1"/>
  <c r="C60" i="22"/>
  <c r="D57" i="22" s="1"/>
  <c r="D60" i="22" s="1"/>
  <c r="E57" i="22" s="1"/>
  <c r="E60" i="22" s="1"/>
  <c r="F57" i="22" s="1"/>
  <c r="G58" i="22"/>
  <c r="D58" i="22"/>
  <c r="D59" i="22" s="1"/>
  <c r="K57" i="22"/>
  <c r="F58" i="22"/>
  <c r="E58" i="22"/>
  <c r="H58" i="22"/>
  <c r="I58" i="22"/>
  <c r="E24" i="95"/>
  <c r="C17" i="68"/>
  <c r="D60" i="98" s="1"/>
  <c r="G7" i="94"/>
  <c r="D32" i="94"/>
  <c r="G32" i="94" s="1"/>
  <c r="I21" i="61"/>
  <c r="I42" i="61" s="1"/>
  <c r="F10" i="69" s="1"/>
  <c r="H288" i="55"/>
  <c r="J7" i="61"/>
  <c r="J12" i="61" s="1"/>
  <c r="D46" i="22"/>
  <c r="C46" i="22"/>
  <c r="K45" i="22"/>
  <c r="G46" i="22"/>
  <c r="F46" i="22"/>
  <c r="E46" i="22"/>
  <c r="I46" i="22"/>
  <c r="H46" i="22"/>
  <c r="E16" i="95"/>
  <c r="D64" i="98"/>
  <c r="B18" i="69"/>
  <c r="H198" i="72"/>
  <c r="H200" i="72" s="1"/>
  <c r="J8" i="61"/>
  <c r="I197" i="72" s="1"/>
  <c r="F25" i="48"/>
  <c r="G25" i="48"/>
  <c r="J25" i="48"/>
  <c r="J29" i="48" s="1"/>
  <c r="I25" i="48"/>
  <c r="H25" i="48"/>
  <c r="H29" i="48" s="1"/>
  <c r="K25" i="48"/>
  <c r="K29" i="48" s="1"/>
  <c r="E25" i="48"/>
  <c r="E29" i="48" s="1"/>
  <c r="D41" i="102"/>
  <c r="G288" i="55"/>
  <c r="H21" i="61"/>
  <c r="H42" i="61" s="1"/>
  <c r="E10" i="69" s="1"/>
  <c r="I7" i="61"/>
  <c r="I12" i="61" s="1"/>
  <c r="F21" i="61"/>
  <c r="F42" i="61" s="1"/>
  <c r="C10" i="69" s="1"/>
  <c r="E288" i="55"/>
  <c r="G7" i="61"/>
  <c r="G12" i="23" l="1"/>
  <c r="F60" i="22"/>
  <c r="G57" i="22" s="1"/>
  <c r="G60" i="22" s="1"/>
  <c r="H57" i="22" s="1"/>
  <c r="H60" i="22" s="1"/>
  <c r="I57" i="22" s="1"/>
  <c r="I60" i="22" s="1"/>
  <c r="H21" i="95"/>
  <c r="F21" i="95"/>
  <c r="I21" i="95"/>
  <c r="G21" i="95"/>
  <c r="J21" i="95"/>
  <c r="K21" i="95"/>
  <c r="E21" i="95"/>
  <c r="E22" i="95" s="1"/>
  <c r="F20" i="95" s="1"/>
  <c r="I29" i="48"/>
  <c r="I35" i="48" s="1"/>
  <c r="I37" i="48" s="1"/>
  <c r="G15" i="100"/>
  <c r="L15" i="100" s="1"/>
  <c r="C39" i="22"/>
  <c r="D40" i="22" s="1"/>
  <c r="D59" i="98"/>
  <c r="F200" i="72"/>
  <c r="G12" i="61"/>
  <c r="G29" i="48"/>
  <c r="F6" i="62"/>
  <c r="F12" i="62" s="1"/>
  <c r="E19" i="62" s="1"/>
  <c r="G31" i="94"/>
  <c r="G38" i="94" s="1"/>
  <c r="E8" i="95"/>
  <c r="I34" i="22"/>
  <c r="F34" i="22"/>
  <c r="G34" i="22"/>
  <c r="K33" i="22"/>
  <c r="K34" i="22" s="1"/>
  <c r="K35" i="22" s="1"/>
  <c r="E34" i="22"/>
  <c r="D34" i="22"/>
  <c r="H34" i="22"/>
  <c r="C34" i="22"/>
  <c r="C35" i="22" s="1"/>
  <c r="C36" i="22"/>
  <c r="D33" i="22" s="1"/>
  <c r="C53" i="22"/>
  <c r="D53" i="22" s="1"/>
  <c r="E53" i="22" s="1"/>
  <c r="F53" i="22" s="1"/>
  <c r="G53" i="22" s="1"/>
  <c r="H53" i="22" s="1"/>
  <c r="I53" i="22" s="1"/>
  <c r="C54" i="22"/>
  <c r="D51" i="22" s="1"/>
  <c r="D54" i="22" s="1"/>
  <c r="E51" i="22" s="1"/>
  <c r="E54" i="22" s="1"/>
  <c r="F51" i="22" s="1"/>
  <c r="F54" i="22" s="1"/>
  <c r="G51" i="22" s="1"/>
  <c r="G54" i="22" s="1"/>
  <c r="H51" i="22" s="1"/>
  <c r="H54" i="22" s="1"/>
  <c r="I51" i="22" s="1"/>
  <c r="I54" i="22" s="1"/>
  <c r="D8" i="21"/>
  <c r="G35" i="48"/>
  <c r="G35" i="61"/>
  <c r="G41" i="61" s="1"/>
  <c r="K50" i="61"/>
  <c r="H15" i="21"/>
  <c r="J209" i="72"/>
  <c r="J211" i="72" s="1"/>
  <c r="J213" i="72" s="1"/>
  <c r="E8" i="21"/>
  <c r="H35" i="48"/>
  <c r="H37" i="48" s="1"/>
  <c r="H35" i="61"/>
  <c r="H41" i="61" s="1"/>
  <c r="F8" i="21"/>
  <c r="I35" i="61"/>
  <c r="I41" i="61" s="1"/>
  <c r="J35" i="48"/>
  <c r="J37" i="48" s="1"/>
  <c r="J35" i="61"/>
  <c r="J41" i="61" s="1"/>
  <c r="G8" i="21"/>
  <c r="G37" i="48"/>
  <c r="L52" i="22"/>
  <c r="L54" i="22" s="1"/>
  <c r="M51" i="22" s="1"/>
  <c r="H8" i="21"/>
  <c r="K35" i="61"/>
  <c r="K41" i="61" s="1"/>
  <c r="K35" i="48"/>
  <c r="D97" i="98"/>
  <c r="C18" i="69"/>
  <c r="K39" i="22"/>
  <c r="F40" i="22"/>
  <c r="I40" i="22"/>
  <c r="G40" i="22"/>
  <c r="G62" i="22" s="1"/>
  <c r="C40" i="22"/>
  <c r="C41" i="22" s="1"/>
  <c r="K58" i="22"/>
  <c r="K59" i="22" s="1"/>
  <c r="I200" i="72"/>
  <c r="E287" i="55"/>
  <c r="D290" i="55"/>
  <c r="L53" i="22"/>
  <c r="B8" i="21"/>
  <c r="B11" i="21" s="1"/>
  <c r="E35" i="48"/>
  <c r="E37" i="48" s="1"/>
  <c r="E35" i="61"/>
  <c r="E41" i="61" s="1"/>
  <c r="E17" i="95"/>
  <c r="E18" i="95" s="1"/>
  <c r="F16" i="95" s="1"/>
  <c r="F17" i="95"/>
  <c r="G17" i="95"/>
  <c r="H17" i="95"/>
  <c r="I17" i="95"/>
  <c r="J17" i="95"/>
  <c r="K17" i="95"/>
  <c r="C62" i="22"/>
  <c r="C47" i="22"/>
  <c r="K37" i="48"/>
  <c r="G50" i="61"/>
  <c r="F209" i="72"/>
  <c r="F211" i="72" s="1"/>
  <c r="F213" i="72" s="1"/>
  <c r="D15" i="21"/>
  <c r="F24" i="98" s="1"/>
  <c r="F29" i="48"/>
  <c r="K12" i="61"/>
  <c r="D130" i="102"/>
  <c r="K36" i="22"/>
  <c r="L33" i="22" s="1"/>
  <c r="I50" i="61"/>
  <c r="F15" i="21"/>
  <c r="H24" i="98" s="1"/>
  <c r="H209" i="72"/>
  <c r="H211" i="72" s="1"/>
  <c r="H213" i="72" s="1"/>
  <c r="F62" i="22"/>
  <c r="G25" i="95"/>
  <c r="F25" i="95"/>
  <c r="H25" i="95"/>
  <c r="I25" i="95"/>
  <c r="J25" i="95"/>
  <c r="K25" i="95"/>
  <c r="E25" i="95"/>
  <c r="E26" i="95" s="1"/>
  <c r="F24" i="95" s="1"/>
  <c r="F287" i="55"/>
  <c r="F290" i="55" s="1"/>
  <c r="E290" i="55"/>
  <c r="H287" i="55"/>
  <c r="H290" i="55" s="1"/>
  <c r="C48" i="22"/>
  <c r="C61" i="22"/>
  <c r="B13" i="69" s="1"/>
  <c r="K46" i="22"/>
  <c r="K48" i="22"/>
  <c r="I287" i="55"/>
  <c r="I290" i="55" s="1"/>
  <c r="E59" i="22"/>
  <c r="F59" i="22" s="1"/>
  <c r="G59" i="22" s="1"/>
  <c r="H59" i="22" s="1"/>
  <c r="I59" i="22" s="1"/>
  <c r="J287" i="55"/>
  <c r="J290" i="55" s="1"/>
  <c r="H50" i="61"/>
  <c r="E15" i="21"/>
  <c r="G24" i="98" s="1"/>
  <c r="G209" i="72"/>
  <c r="G211" i="72" s="1"/>
  <c r="G213" i="72" s="1"/>
  <c r="C15" i="21"/>
  <c r="E24" i="98" s="1"/>
  <c r="F50" i="61"/>
  <c r="E209" i="72"/>
  <c r="E211" i="72" s="1"/>
  <c r="E213" i="72" s="1"/>
  <c r="E96" i="29"/>
  <c r="E10" i="29"/>
  <c r="D60" i="29"/>
  <c r="E33" i="98"/>
  <c r="G287" i="55"/>
  <c r="G290" i="55" s="1"/>
  <c r="D13" i="23" l="1"/>
  <c r="G13" i="23"/>
  <c r="D36" i="22"/>
  <c r="E33" i="22" s="1"/>
  <c r="E36" i="22" s="1"/>
  <c r="F33" i="22" s="1"/>
  <c r="F36" i="22" s="1"/>
  <c r="G33" i="22" s="1"/>
  <c r="G36" i="22" s="1"/>
  <c r="H33" i="22" s="1"/>
  <c r="H36" i="22" s="1"/>
  <c r="I33" i="22" s="1"/>
  <c r="I36" i="22" s="1"/>
  <c r="D62" i="22"/>
  <c r="I62" i="22"/>
  <c r="H14" i="69" s="1"/>
  <c r="J94" i="98" s="1"/>
  <c r="C9" i="68"/>
  <c r="D53" i="98" s="1"/>
  <c r="E17" i="94"/>
  <c r="E12" i="95"/>
  <c r="E40" i="22"/>
  <c r="E62" i="22" s="1"/>
  <c r="D36" i="21" s="1"/>
  <c r="F22" i="95"/>
  <c r="G20" i="95" s="1"/>
  <c r="G22" i="95" s="1"/>
  <c r="H20" i="95" s="1"/>
  <c r="H22" i="95" s="1"/>
  <c r="I20" i="95" s="1"/>
  <c r="I22" i="95" s="1"/>
  <c r="J20" i="95" s="1"/>
  <c r="J22" i="95" s="1"/>
  <c r="K20" i="95" s="1"/>
  <c r="K22" i="95" s="1"/>
  <c r="F26" i="95"/>
  <c r="G24" i="95" s="1"/>
  <c r="G26" i="95" s="1"/>
  <c r="H24" i="95" s="1"/>
  <c r="H26" i="95" s="1"/>
  <c r="I24" i="95" s="1"/>
  <c r="I26" i="95" s="1"/>
  <c r="J24" i="95" s="1"/>
  <c r="J26" i="95" s="1"/>
  <c r="K24" i="95" s="1"/>
  <c r="K26" i="95" s="1"/>
  <c r="H40" i="22"/>
  <c r="H62" i="22" s="1"/>
  <c r="G36" i="21" s="1"/>
  <c r="D35" i="22"/>
  <c r="E35" i="22" s="1"/>
  <c r="F35" i="22" s="1"/>
  <c r="G35" i="22" s="1"/>
  <c r="H35" i="22" s="1"/>
  <c r="I35" i="22" s="1"/>
  <c r="I9" i="95"/>
  <c r="F9" i="95"/>
  <c r="K9" i="95"/>
  <c r="H9" i="95"/>
  <c r="J9" i="95"/>
  <c r="E9" i="95"/>
  <c r="E10" i="95" s="1"/>
  <c r="F8" i="95" s="1"/>
  <c r="F10" i="95" s="1"/>
  <c r="G8" i="95" s="1"/>
  <c r="G9" i="95"/>
  <c r="H49" i="61"/>
  <c r="E14" i="21"/>
  <c r="G300" i="55"/>
  <c r="G303" i="55" s="1"/>
  <c r="G305" i="55" s="1"/>
  <c r="G49" i="61"/>
  <c r="D14" i="21"/>
  <c r="F300" i="55"/>
  <c r="F303" i="55" s="1"/>
  <c r="F305" i="55" s="1"/>
  <c r="B17" i="21"/>
  <c r="D26" i="98" s="1"/>
  <c r="E45" i="48"/>
  <c r="E47" i="48" s="1"/>
  <c r="E49" i="48" s="1"/>
  <c r="E48" i="61"/>
  <c r="F36" i="21"/>
  <c r="F14" i="69"/>
  <c r="H94" i="98" s="1"/>
  <c r="G14" i="69"/>
  <c r="I94" i="98" s="1"/>
  <c r="M52" i="22"/>
  <c r="M54" i="22" s="1"/>
  <c r="N51" i="22" s="1"/>
  <c r="G17" i="21"/>
  <c r="I26" i="98" s="1"/>
  <c r="J48" i="61"/>
  <c r="J45" i="48"/>
  <c r="J47" i="48" s="1"/>
  <c r="J49" i="48" s="1"/>
  <c r="L45" i="22"/>
  <c r="E17" i="21"/>
  <c r="G26" i="98" s="1"/>
  <c r="H48" i="61"/>
  <c r="H45" i="48"/>
  <c r="H47" i="48" s="1"/>
  <c r="H49" i="48" s="1"/>
  <c r="E13" i="95"/>
  <c r="E14" i="95" s="1"/>
  <c r="J13" i="95"/>
  <c r="J29" i="95" s="1"/>
  <c r="F13" i="95"/>
  <c r="F29" i="95" s="1"/>
  <c r="G13" i="95"/>
  <c r="G29" i="95" s="1"/>
  <c r="I13" i="95"/>
  <c r="I29" i="95" s="1"/>
  <c r="E28" i="95"/>
  <c r="H13" i="95"/>
  <c r="K13" i="95"/>
  <c r="D18" i="69"/>
  <c r="E97" i="98"/>
  <c r="D17" i="21"/>
  <c r="F26" i="98" s="1"/>
  <c r="G48" i="61"/>
  <c r="G54" i="61" s="1"/>
  <c r="D25" i="69" s="1"/>
  <c r="G45" i="48"/>
  <c r="G47" i="48" s="1"/>
  <c r="G49" i="48" s="1"/>
  <c r="F11" i="21"/>
  <c r="H9" i="98"/>
  <c r="H11" i="98" s="1"/>
  <c r="G175" i="29"/>
  <c r="G179" i="29" s="1"/>
  <c r="G160" i="29"/>
  <c r="G164" i="29" s="1"/>
  <c r="G205" i="29"/>
  <c r="G209" i="29" s="1"/>
  <c r="G190" i="29"/>
  <c r="G194" i="29" s="1"/>
  <c r="G33" i="29"/>
  <c r="G37" i="29" s="1"/>
  <c r="F17" i="21"/>
  <c r="H26" i="98" s="1"/>
  <c r="I45" i="48"/>
  <c r="I47" i="48" s="1"/>
  <c r="I49" i="48" s="1"/>
  <c r="I48" i="61"/>
  <c r="J49" i="61"/>
  <c r="I300" i="55"/>
  <c r="I303" i="55" s="1"/>
  <c r="I305" i="55" s="1"/>
  <c r="G14" i="21"/>
  <c r="K47" i="22"/>
  <c r="E36" i="21"/>
  <c r="E14" i="69"/>
  <c r="G94" i="98" s="1"/>
  <c r="L34" i="22"/>
  <c r="L35" i="22" s="1"/>
  <c r="L36" i="22"/>
  <c r="M33" i="22" s="1"/>
  <c r="D47" i="22"/>
  <c r="C63" i="22"/>
  <c r="E49" i="61"/>
  <c r="D300" i="55"/>
  <c r="D303" i="55" s="1"/>
  <c r="D305" i="55" s="1"/>
  <c r="B14" i="21"/>
  <c r="K60" i="22"/>
  <c r="L57" i="22" s="1"/>
  <c r="C36" i="21"/>
  <c r="C14" i="69"/>
  <c r="E94" i="98" s="1"/>
  <c r="H11" i="21"/>
  <c r="I160" i="29"/>
  <c r="I164" i="29" s="1"/>
  <c r="I175" i="29"/>
  <c r="I179" i="29" s="1"/>
  <c r="I205" i="29"/>
  <c r="I209" i="29" s="1"/>
  <c r="E19" i="97"/>
  <c r="I33" i="29"/>
  <c r="I37" i="29" s="1"/>
  <c r="I190" i="29"/>
  <c r="I194" i="29" s="1"/>
  <c r="J9" i="98"/>
  <c r="J11" i="98" s="1"/>
  <c r="G11" i="21"/>
  <c r="H175" i="29"/>
  <c r="H179" i="29" s="1"/>
  <c r="H190" i="29"/>
  <c r="H194" i="29" s="1"/>
  <c r="H160" i="29"/>
  <c r="H164" i="29" s="1"/>
  <c r="H205" i="29"/>
  <c r="H209" i="29" s="1"/>
  <c r="I9" i="98"/>
  <c r="I11" i="98" s="1"/>
  <c r="H33" i="29"/>
  <c r="H37" i="29" s="1"/>
  <c r="I44" i="61"/>
  <c r="F9" i="69"/>
  <c r="E9" i="69"/>
  <c r="H44" i="61"/>
  <c r="D45" i="22"/>
  <c r="K49" i="61"/>
  <c r="H14" i="21"/>
  <c r="J300" i="55"/>
  <c r="J303" i="55" s="1"/>
  <c r="J305" i="55" s="1"/>
  <c r="D9" i="69"/>
  <c r="G44" i="61"/>
  <c r="G55" i="61" s="1"/>
  <c r="D24" i="69" s="1"/>
  <c r="I49" i="61"/>
  <c r="F14" i="21"/>
  <c r="H300" i="55"/>
  <c r="H303" i="55" s="1"/>
  <c r="H305" i="55" s="1"/>
  <c r="H36" i="21"/>
  <c r="B36" i="21"/>
  <c r="B14" i="69"/>
  <c r="D94" i="98" s="1"/>
  <c r="C160" i="29"/>
  <c r="C164" i="29" s="1"/>
  <c r="D9" i="98"/>
  <c r="D11" i="98" s="1"/>
  <c r="C190" i="29"/>
  <c r="C194" i="29" s="1"/>
  <c r="C33" i="29"/>
  <c r="C37" i="29" s="1"/>
  <c r="C175" i="29"/>
  <c r="C179" i="29" s="1"/>
  <c r="C205" i="29"/>
  <c r="C209" i="29" s="1"/>
  <c r="J44" i="61"/>
  <c r="G9" i="69"/>
  <c r="H31" i="68" s="1"/>
  <c r="J24" i="98"/>
  <c r="F9" i="97"/>
  <c r="K40" i="22"/>
  <c r="K41" i="22" s="1"/>
  <c r="E11" i="21"/>
  <c r="F190" i="29"/>
  <c r="F194" i="29" s="1"/>
  <c r="G9" i="98"/>
  <c r="G11" i="98" s="1"/>
  <c r="F175" i="29"/>
  <c r="F179" i="29" s="1"/>
  <c r="F33" i="29"/>
  <c r="F37" i="29" s="1"/>
  <c r="F160" i="29"/>
  <c r="F164" i="29" s="1"/>
  <c r="F205" i="29"/>
  <c r="F209" i="29" s="1"/>
  <c r="K61" i="22"/>
  <c r="B15" i="69"/>
  <c r="D93" i="98"/>
  <c r="F49" i="61"/>
  <c r="C14" i="21"/>
  <c r="E300" i="55"/>
  <c r="E303" i="55" s="1"/>
  <c r="E305" i="55" s="1"/>
  <c r="C8" i="21"/>
  <c r="F35" i="48"/>
  <c r="F37" i="48" s="1"/>
  <c r="F35" i="61"/>
  <c r="F41" i="61" s="1"/>
  <c r="H17" i="21"/>
  <c r="K48" i="61"/>
  <c r="K45" i="48"/>
  <c r="K47" i="48" s="1"/>
  <c r="K49" i="48" s="1"/>
  <c r="F18" i="95"/>
  <c r="G16" i="95" s="1"/>
  <c r="G18" i="95" s="1"/>
  <c r="H16" i="95" s="1"/>
  <c r="H18" i="95" s="1"/>
  <c r="I16" i="95" s="1"/>
  <c r="I18" i="95" s="1"/>
  <c r="J16" i="95" s="1"/>
  <c r="J18" i="95" s="1"/>
  <c r="K16" i="95" s="1"/>
  <c r="K18" i="95" s="1"/>
  <c r="B9" i="69"/>
  <c r="C31" i="68" s="1"/>
  <c r="E44" i="61"/>
  <c r="J50" i="61"/>
  <c r="G15" i="21"/>
  <c r="I24" i="98" s="1"/>
  <c r="I209" i="72"/>
  <c r="I211" i="72" s="1"/>
  <c r="I213" i="72" s="1"/>
  <c r="D41" i="22"/>
  <c r="C42" i="22"/>
  <c r="D39" i="22" s="1"/>
  <c r="D42" i="22" s="1"/>
  <c r="E39" i="22" s="1"/>
  <c r="E42" i="22" s="1"/>
  <c r="F39" i="22" s="1"/>
  <c r="F42" i="22" s="1"/>
  <c r="G39" i="22" s="1"/>
  <c r="G42" i="22" s="1"/>
  <c r="H39" i="22" s="1"/>
  <c r="H42" i="22" s="1"/>
  <c r="I39" i="22" s="1"/>
  <c r="I42" i="22" s="1"/>
  <c r="H9" i="69"/>
  <c r="K44" i="61"/>
  <c r="D11" i="21"/>
  <c r="E160" i="29"/>
  <c r="E164" i="29" s="1"/>
  <c r="F9" i="98"/>
  <c r="F11" i="98" s="1"/>
  <c r="E205" i="29"/>
  <c r="E209" i="29" s="1"/>
  <c r="E33" i="29"/>
  <c r="E37" i="29" s="1"/>
  <c r="E190" i="29"/>
  <c r="E194" i="29" s="1"/>
  <c r="E175" i="29"/>
  <c r="E179" i="29" s="1"/>
  <c r="D14" i="23" l="1"/>
  <c r="G14" i="23"/>
  <c r="H29" i="95"/>
  <c r="G10" i="95"/>
  <c r="D14" i="69"/>
  <c r="F94" i="98" s="1"/>
  <c r="D95" i="98"/>
  <c r="E41" i="22"/>
  <c r="F41" i="22" s="1"/>
  <c r="G41" i="22" s="1"/>
  <c r="H41" i="22" s="1"/>
  <c r="I41" i="22" s="1"/>
  <c r="K54" i="61"/>
  <c r="H25" i="69" s="1"/>
  <c r="F31" i="68"/>
  <c r="H54" i="61"/>
  <c r="E25" i="69" s="1"/>
  <c r="F12" i="68" s="1"/>
  <c r="K55" i="61"/>
  <c r="H24" i="69" s="1"/>
  <c r="H27" i="69" s="1"/>
  <c r="H31" i="69" s="1"/>
  <c r="K29" i="95"/>
  <c r="E29" i="95"/>
  <c r="D113" i="98"/>
  <c r="C34" i="69"/>
  <c r="N52" i="22"/>
  <c r="N54" i="22"/>
  <c r="O51" i="22" s="1"/>
  <c r="F6" i="68"/>
  <c r="G20" i="21"/>
  <c r="I23" i="98"/>
  <c r="I28" i="98" s="1"/>
  <c r="F12" i="95"/>
  <c r="E30" i="95"/>
  <c r="F92" i="22"/>
  <c r="G59" i="29"/>
  <c r="H9" i="29"/>
  <c r="H32" i="98"/>
  <c r="H95" i="29"/>
  <c r="D92" i="22"/>
  <c r="F32" i="98"/>
  <c r="F95" i="29"/>
  <c r="E59" i="29"/>
  <c r="F9" i="29"/>
  <c r="E6" i="68"/>
  <c r="M53" i="22"/>
  <c r="N53" i="22" s="1"/>
  <c r="E23" i="98"/>
  <c r="K42" i="22"/>
  <c r="H20" i="21"/>
  <c r="J23" i="98"/>
  <c r="H55" i="61"/>
  <c r="E24" i="69" s="1"/>
  <c r="C92" i="22"/>
  <c r="E95" i="29"/>
  <c r="E32" i="98"/>
  <c r="E9" i="29"/>
  <c r="D59" i="29"/>
  <c r="E47" i="22"/>
  <c r="D63" i="22"/>
  <c r="E92" i="22"/>
  <c r="G32" i="98"/>
  <c r="F59" i="29"/>
  <c r="G9" i="29"/>
  <c r="G95" i="29"/>
  <c r="E18" i="69"/>
  <c r="F97" i="98"/>
  <c r="J54" i="61"/>
  <c r="G25" i="69" s="1"/>
  <c r="E54" i="61"/>
  <c r="B25" i="69" s="1"/>
  <c r="C12" i="68" s="1"/>
  <c r="D20" i="21"/>
  <c r="F23" i="98"/>
  <c r="F28" i="98" s="1"/>
  <c r="F20" i="21"/>
  <c r="H23" i="98"/>
  <c r="H28" i="98" s="1"/>
  <c r="G6" i="68"/>
  <c r="I29" i="68"/>
  <c r="C6" i="68"/>
  <c r="H92" i="22"/>
  <c r="J32" i="98"/>
  <c r="J95" i="29"/>
  <c r="I59" i="29"/>
  <c r="J9" i="29"/>
  <c r="E29" i="68"/>
  <c r="D27" i="69"/>
  <c r="L58" i="22"/>
  <c r="L59" i="22" s="1"/>
  <c r="M34" i="22"/>
  <c r="M36" i="22" s="1"/>
  <c r="N33" i="22" s="1"/>
  <c r="K63" i="22"/>
  <c r="I32" i="98"/>
  <c r="I9" i="29"/>
  <c r="I95" i="29"/>
  <c r="H59" i="29"/>
  <c r="G92" i="22"/>
  <c r="E20" i="21"/>
  <c r="G23" i="98"/>
  <c r="G28" i="98" s="1"/>
  <c r="F44" i="61"/>
  <c r="C9" i="69"/>
  <c r="D31" i="68" s="1"/>
  <c r="B92" i="22"/>
  <c r="C59" i="29"/>
  <c r="D95" i="29"/>
  <c r="D32" i="98"/>
  <c r="D9" i="29"/>
  <c r="D48" i="22"/>
  <c r="D61" i="22"/>
  <c r="C13" i="69" s="1"/>
  <c r="C17" i="21"/>
  <c r="E26" i="98" s="1"/>
  <c r="F45" i="48"/>
  <c r="F47" i="48" s="1"/>
  <c r="F49" i="48" s="1"/>
  <c r="F48" i="61"/>
  <c r="F54" i="61" s="1"/>
  <c r="C25" i="69" s="1"/>
  <c r="I31" i="68"/>
  <c r="J26" i="98"/>
  <c r="F19" i="97"/>
  <c r="C11" i="21"/>
  <c r="D205" i="29"/>
  <c r="D209" i="29" s="1"/>
  <c r="D33" i="29"/>
  <c r="D37" i="29" s="1"/>
  <c r="E9" i="98"/>
  <c r="E11" i="98" s="1"/>
  <c r="D190" i="29"/>
  <c r="D194" i="29" s="1"/>
  <c r="D175" i="29"/>
  <c r="D179" i="29" s="1"/>
  <c r="D160" i="29"/>
  <c r="D164" i="29" s="1"/>
  <c r="J55" i="61"/>
  <c r="G24" i="69" s="1"/>
  <c r="C64" i="22"/>
  <c r="E18" i="22" s="1"/>
  <c r="E22" i="22" s="1"/>
  <c r="B29" i="21" s="1"/>
  <c r="G31" i="68"/>
  <c r="H6" i="68"/>
  <c r="I6" i="68"/>
  <c r="B20" i="21"/>
  <c r="D23" i="98"/>
  <c r="D28" i="98" s="1"/>
  <c r="H8" i="95"/>
  <c r="K62" i="22"/>
  <c r="B93" i="22" s="1"/>
  <c r="I54" i="61"/>
  <c r="F25" i="69" s="1"/>
  <c r="G12" i="68" s="1"/>
  <c r="L46" i="22"/>
  <c r="L48" i="22" s="1"/>
  <c r="D15" i="23" l="1"/>
  <c r="G15" i="23" s="1"/>
  <c r="L47" i="22"/>
  <c r="E28" i="98"/>
  <c r="E113" i="98"/>
  <c r="D34" i="69"/>
  <c r="M35" i="22"/>
  <c r="E55" i="61"/>
  <c r="E56" i="61" s="1"/>
  <c r="L60" i="22"/>
  <c r="M57" i="22" s="1"/>
  <c r="M45" i="22"/>
  <c r="N34" i="22"/>
  <c r="N36" i="22"/>
  <c r="O33" i="22" s="1"/>
  <c r="D64" i="22"/>
  <c r="F18" i="22" s="1"/>
  <c r="F22" i="22" s="1"/>
  <c r="C29" i="21" s="1"/>
  <c r="E45" i="22"/>
  <c r="H67" i="98"/>
  <c r="G23" i="68"/>
  <c r="G167" i="29"/>
  <c r="G39" i="29"/>
  <c r="G41" i="29" s="1"/>
  <c r="G197" i="29"/>
  <c r="G212" i="29"/>
  <c r="G182" i="29"/>
  <c r="H10" i="95"/>
  <c r="J48" i="98"/>
  <c r="H29" i="68"/>
  <c r="G27" i="69"/>
  <c r="D12" i="68"/>
  <c r="F55" i="61"/>
  <c r="C24" i="69" s="1"/>
  <c r="E12" i="68"/>
  <c r="I11" i="68"/>
  <c r="J51" i="98" s="1"/>
  <c r="H12" i="68"/>
  <c r="F11" i="68"/>
  <c r="G51" i="98" s="1"/>
  <c r="F29" i="68"/>
  <c r="E27" i="69"/>
  <c r="C20" i="21"/>
  <c r="F14" i="95"/>
  <c r="F28" i="95"/>
  <c r="M58" i="22"/>
  <c r="M59" i="22" s="1"/>
  <c r="M60" i="22"/>
  <c r="N57" i="22" s="1"/>
  <c r="D48" i="98"/>
  <c r="J69" i="98"/>
  <c r="I55" i="61"/>
  <c r="F24" i="69" s="1"/>
  <c r="J28" i="98"/>
  <c r="L39" i="22"/>
  <c r="K64" i="22"/>
  <c r="O53" i="22"/>
  <c r="O52" i="22"/>
  <c r="O54" i="22"/>
  <c r="P51" i="22" s="1"/>
  <c r="F69" i="98"/>
  <c r="H48" i="98"/>
  <c r="F48" i="98"/>
  <c r="I67" i="98"/>
  <c r="H23" i="68"/>
  <c r="H167" i="29"/>
  <c r="H39" i="29"/>
  <c r="H41" i="29" s="1"/>
  <c r="H197" i="29"/>
  <c r="H182" i="29"/>
  <c r="H212" i="29"/>
  <c r="B30" i="21"/>
  <c r="B32" i="21" s="1"/>
  <c r="B34" i="21" s="1"/>
  <c r="D19" i="98"/>
  <c r="D20" i="98" s="1"/>
  <c r="D30" i="98" s="1"/>
  <c r="D6" i="68"/>
  <c r="C39" i="29"/>
  <c r="C41" i="29" s="1"/>
  <c r="C197" i="29"/>
  <c r="C167" i="29"/>
  <c r="C23" i="68"/>
  <c r="C182" i="29"/>
  <c r="C212" i="29"/>
  <c r="D67" i="98"/>
  <c r="I48" i="98"/>
  <c r="E31" i="68"/>
  <c r="E93" i="98"/>
  <c r="E95" i="98" s="1"/>
  <c r="C15" i="69"/>
  <c r="F167" i="29"/>
  <c r="F23" i="68"/>
  <c r="F197" i="29"/>
  <c r="G67" i="98"/>
  <c r="F182" i="29"/>
  <c r="F212" i="29"/>
  <c r="F39" i="29"/>
  <c r="F41" i="29" s="1"/>
  <c r="I12" i="68"/>
  <c r="E182" i="29"/>
  <c r="E212" i="29"/>
  <c r="E39" i="29"/>
  <c r="E41" i="29" s="1"/>
  <c r="E197" i="29"/>
  <c r="E167" i="29"/>
  <c r="F67" i="98"/>
  <c r="E23" i="68"/>
  <c r="G97" i="98"/>
  <c r="F18" i="69"/>
  <c r="F47" i="22"/>
  <c r="E63" i="22"/>
  <c r="I212" i="29"/>
  <c r="I167" i="29"/>
  <c r="I197" i="29"/>
  <c r="I39" i="29"/>
  <c r="I41" i="29" s="1"/>
  <c r="J67" i="98"/>
  <c r="I182" i="29"/>
  <c r="I23" i="68"/>
  <c r="F13" i="68"/>
  <c r="G48" i="98"/>
  <c r="G56" i="98" s="1"/>
  <c r="D55" i="98" l="1"/>
  <c r="N35" i="22"/>
  <c r="B24" i="69"/>
  <c r="C11" i="68" s="1"/>
  <c r="D51" i="98" s="1"/>
  <c r="E34" i="69"/>
  <c r="F113" i="98"/>
  <c r="B39" i="21"/>
  <c r="C109" i="29"/>
  <c r="C110" i="29" s="1"/>
  <c r="E48" i="98"/>
  <c r="G29" i="68"/>
  <c r="G11" i="68"/>
  <c r="F27" i="69"/>
  <c r="C30" i="21"/>
  <c r="C32" i="21" s="1"/>
  <c r="C34" i="21" s="1"/>
  <c r="E19" i="98"/>
  <c r="E20" i="98" s="1"/>
  <c r="E30" i="98" s="1"/>
  <c r="H97" i="98"/>
  <c r="G18" i="69"/>
  <c r="G69" i="98"/>
  <c r="J56" i="98"/>
  <c r="C29" i="68"/>
  <c r="H11" i="68"/>
  <c r="C181" i="29"/>
  <c r="C183" i="29" s="1"/>
  <c r="C184" i="29" s="1"/>
  <c r="C211" i="29"/>
  <c r="C213" i="29" s="1"/>
  <c r="C214" i="29" s="1"/>
  <c r="C24" i="68"/>
  <c r="C196" i="29"/>
  <c r="C198" i="29" s="1"/>
  <c r="C199" i="29" s="1"/>
  <c r="D66" i="98"/>
  <c r="C166" i="29"/>
  <c r="C168" i="29" s="1"/>
  <c r="C169" i="29" s="1"/>
  <c r="C43" i="29"/>
  <c r="C45" i="29" s="1"/>
  <c r="P52" i="22"/>
  <c r="P53" i="22" s="1"/>
  <c r="L40" i="22"/>
  <c r="L61" i="22"/>
  <c r="N58" i="22"/>
  <c r="N59" i="22" s="1"/>
  <c r="G12" i="95"/>
  <c r="F30" i="95"/>
  <c r="D29" i="68"/>
  <c r="C27" i="69"/>
  <c r="E11" i="68"/>
  <c r="I13" i="68"/>
  <c r="J35" i="21"/>
  <c r="D11" i="62"/>
  <c r="D12" i="62" s="1"/>
  <c r="G47" i="22"/>
  <c r="F63" i="22"/>
  <c r="O34" i="22"/>
  <c r="O35" i="22" s="1"/>
  <c r="O36" i="22"/>
  <c r="P33" i="22" s="1"/>
  <c r="E67" i="98"/>
  <c r="D167" i="29"/>
  <c r="D212" i="29"/>
  <c r="D23" i="68"/>
  <c r="D182" i="29"/>
  <c r="D39" i="29"/>
  <c r="D41" i="29" s="1"/>
  <c r="D197" i="29"/>
  <c r="I69" i="98"/>
  <c r="I8" i="95"/>
  <c r="E48" i="22"/>
  <c r="E61" i="22"/>
  <c r="D13" i="69" s="1"/>
  <c r="M46" i="22"/>
  <c r="F16" i="23" l="1"/>
  <c r="F19" i="23"/>
  <c r="F22" i="23"/>
  <c r="F26" i="23"/>
  <c r="F30" i="23"/>
  <c r="F33" i="23"/>
  <c r="F37" i="23"/>
  <c r="F41" i="23"/>
  <c r="F48" i="23"/>
  <c r="F52" i="23"/>
  <c r="F56" i="23"/>
  <c r="F57" i="23"/>
  <c r="F20" i="23"/>
  <c r="F23" i="23"/>
  <c r="F27" i="23"/>
  <c r="F31" i="23"/>
  <c r="F34" i="23"/>
  <c r="F38" i="23"/>
  <c r="F42" i="23"/>
  <c r="F45" i="23"/>
  <c r="F49" i="23"/>
  <c r="F53" i="23"/>
  <c r="F17" i="23"/>
  <c r="F21" i="23"/>
  <c r="F24" i="23"/>
  <c r="F28" i="23"/>
  <c r="F32" i="23"/>
  <c r="F35" i="23"/>
  <c r="F39" i="23"/>
  <c r="F43" i="23"/>
  <c r="F46" i="23"/>
  <c r="F50" i="23"/>
  <c r="F54" i="23"/>
  <c r="F18" i="23"/>
  <c r="F40" i="23"/>
  <c r="F36" i="23"/>
  <c r="F55" i="23"/>
  <c r="F25" i="23"/>
  <c r="F44" i="23"/>
  <c r="F47" i="23"/>
  <c r="F29" i="23"/>
  <c r="F51" i="23"/>
  <c r="D16" i="23"/>
  <c r="C82" i="29"/>
  <c r="D20" i="29"/>
  <c r="C93" i="29"/>
  <c r="C13" i="29"/>
  <c r="C70" i="29"/>
  <c r="D11" i="68"/>
  <c r="E51" i="98" s="1"/>
  <c r="E56" i="98" s="1"/>
  <c r="F34" i="69"/>
  <c r="G113" i="98"/>
  <c r="P34" i="22"/>
  <c r="P35" i="22" s="1"/>
  <c r="P36" i="22"/>
  <c r="Q33" i="22" s="1"/>
  <c r="D69" i="98"/>
  <c r="D15" i="69"/>
  <c r="F93" i="98"/>
  <c r="F95" i="98" s="1"/>
  <c r="D37" i="94"/>
  <c r="D38" i="94" s="1"/>
  <c r="G12" i="94"/>
  <c r="G13" i="94" s="1"/>
  <c r="F51" i="98"/>
  <c r="F56" i="98" s="1"/>
  <c r="E13" i="68"/>
  <c r="P54" i="22"/>
  <c r="Q51" i="22" s="1"/>
  <c r="H51" i="98"/>
  <c r="H56" i="98" s="1"/>
  <c r="G13" i="68"/>
  <c r="I10" i="95"/>
  <c r="E64" i="22"/>
  <c r="G18" i="22" s="1"/>
  <c r="G22" i="22" s="1"/>
  <c r="D29" i="21" s="1"/>
  <c r="F45" i="22"/>
  <c r="C39" i="21"/>
  <c r="D109" i="29"/>
  <c r="D110" i="29" s="1"/>
  <c r="G14" i="95"/>
  <c r="G28" i="95"/>
  <c r="L41" i="22"/>
  <c r="L62" i="22"/>
  <c r="C93" i="22" s="1"/>
  <c r="H69" i="98"/>
  <c r="M47" i="22"/>
  <c r="H47" i="22"/>
  <c r="G63" i="22"/>
  <c r="M48" i="22"/>
  <c r="E69" i="98"/>
  <c r="N60" i="22"/>
  <c r="O57" i="22" s="1"/>
  <c r="L42" i="22"/>
  <c r="I51" i="98"/>
  <c r="I56" i="98" s="1"/>
  <c r="H13" i="68"/>
  <c r="I97" i="98"/>
  <c r="H18" i="69"/>
  <c r="J97" i="98" s="1"/>
  <c r="D196" i="29"/>
  <c r="D198" i="29" s="1"/>
  <c r="D199" i="29" s="1"/>
  <c r="D211" i="29"/>
  <c r="D213" i="29" s="1"/>
  <c r="D214" i="29" s="1"/>
  <c r="D166" i="29"/>
  <c r="D168" i="29" s="1"/>
  <c r="D169" i="29" s="1"/>
  <c r="D24" i="68"/>
  <c r="E66" i="98"/>
  <c r="D43" i="29"/>
  <c r="D45" i="29" s="1"/>
  <c r="D181" i="29"/>
  <c r="D183" i="29" s="1"/>
  <c r="D184" i="29" s="1"/>
  <c r="E16" i="23" l="1"/>
  <c r="D13" i="68"/>
  <c r="E22" i="62"/>
  <c r="C7" i="68"/>
  <c r="E18" i="94"/>
  <c r="E21" i="94" s="1"/>
  <c r="B33" i="69"/>
  <c r="H113" i="98"/>
  <c r="G34" i="69"/>
  <c r="Q34" i="22"/>
  <c r="Q35" i="22" s="1"/>
  <c r="M39" i="22"/>
  <c r="L64" i="22"/>
  <c r="H12" i="95"/>
  <c r="G30" i="95"/>
  <c r="F48" i="22"/>
  <c r="F61" i="22"/>
  <c r="E13" i="69" s="1"/>
  <c r="J8" i="95"/>
  <c r="O58" i="22"/>
  <c r="O59" i="22" s="1"/>
  <c r="D30" i="21"/>
  <c r="F19" i="98"/>
  <c r="F20" i="98" s="1"/>
  <c r="F30" i="98" s="1"/>
  <c r="Q52" i="22"/>
  <c r="Q53" i="22" s="1"/>
  <c r="Q54" i="22"/>
  <c r="N45" i="22"/>
  <c r="I47" i="22"/>
  <c r="I63" i="22" s="1"/>
  <c r="H63" i="22"/>
  <c r="L63" i="22"/>
  <c r="G16" i="23" l="1"/>
  <c r="C17" i="23" s="1"/>
  <c r="I113" i="98"/>
  <c r="H34" i="69"/>
  <c r="J113" i="98" s="1"/>
  <c r="D52" i="98"/>
  <c r="D56" i="98" s="1"/>
  <c r="C13" i="68"/>
  <c r="Q36" i="22"/>
  <c r="C33" i="69"/>
  <c r="D112" i="98"/>
  <c r="H14" i="95"/>
  <c r="H28" i="95"/>
  <c r="O60" i="22"/>
  <c r="P57" i="22" s="1"/>
  <c r="E15" i="69"/>
  <c r="G93" i="98"/>
  <c r="G95" i="98" s="1"/>
  <c r="F64" i="22"/>
  <c r="H18" i="22" s="1"/>
  <c r="H22" i="22" s="1"/>
  <c r="E29" i="21" s="1"/>
  <c r="G45" i="22"/>
  <c r="N46" i="22"/>
  <c r="N48" i="22"/>
  <c r="E196" i="29"/>
  <c r="E198" i="29" s="1"/>
  <c r="E199" i="29" s="1"/>
  <c r="E24" i="68"/>
  <c r="E43" i="29"/>
  <c r="E45" i="29" s="1"/>
  <c r="E181" i="29"/>
  <c r="E183" i="29" s="1"/>
  <c r="E184" i="29" s="1"/>
  <c r="E166" i="29"/>
  <c r="E168" i="29" s="1"/>
  <c r="E169" i="29" s="1"/>
  <c r="F66" i="98"/>
  <c r="E211" i="29"/>
  <c r="E213" i="29" s="1"/>
  <c r="E214" i="29" s="1"/>
  <c r="D32" i="21"/>
  <c r="D34" i="21" s="1"/>
  <c r="J10" i="95"/>
  <c r="M40" i="22"/>
  <c r="M42" i="22" s="1"/>
  <c r="M61" i="22"/>
  <c r="D17" i="23" l="1"/>
  <c r="E17" i="23" s="1"/>
  <c r="E112" i="98"/>
  <c r="D33" i="69"/>
  <c r="M62" i="22"/>
  <c r="D93" i="22" s="1"/>
  <c r="M41" i="22"/>
  <c r="G48" i="22"/>
  <c r="G61" i="22"/>
  <c r="F13" i="69" s="1"/>
  <c r="P58" i="22"/>
  <c r="P59" i="22" s="1"/>
  <c r="I12" i="95"/>
  <c r="H30" i="95"/>
  <c r="D39" i="21"/>
  <c r="E109" i="29"/>
  <c r="E110" i="29" s="1"/>
  <c r="O45" i="22"/>
  <c r="K8" i="95"/>
  <c r="E30" i="21"/>
  <c r="G19" i="98"/>
  <c r="G20" i="98" s="1"/>
  <c r="G30" i="98" s="1"/>
  <c r="N39" i="22"/>
  <c r="M64" i="22"/>
  <c r="N47" i="22"/>
  <c r="G17" i="23" l="1"/>
  <c r="C18" i="23" s="1"/>
  <c r="E33" i="69"/>
  <c r="F112" i="98"/>
  <c r="O46" i="22"/>
  <c r="O48" i="22" s="1"/>
  <c r="K10" i="95"/>
  <c r="H93" i="98"/>
  <c r="H95" i="98" s="1"/>
  <c r="F15" i="69"/>
  <c r="I14" i="95"/>
  <c r="I28" i="95"/>
  <c r="G64" i="22"/>
  <c r="I18" i="22" s="1"/>
  <c r="I22" i="22" s="1"/>
  <c r="F29" i="21" s="1"/>
  <c r="H45" i="22"/>
  <c r="F211" i="29"/>
  <c r="F213" i="29" s="1"/>
  <c r="F214" i="29" s="1"/>
  <c r="F196" i="29"/>
  <c r="F198" i="29" s="1"/>
  <c r="F199" i="29" s="1"/>
  <c r="F166" i="29"/>
  <c r="F168" i="29" s="1"/>
  <c r="F169" i="29" s="1"/>
  <c r="F181" i="29"/>
  <c r="F183" i="29" s="1"/>
  <c r="F184" i="29" s="1"/>
  <c r="F43" i="29"/>
  <c r="F45" i="29" s="1"/>
  <c r="G66" i="98"/>
  <c r="F24" i="68"/>
  <c r="E32" i="21"/>
  <c r="E34" i="21" s="1"/>
  <c r="N40" i="22"/>
  <c r="N62" i="22" s="1"/>
  <c r="E93" i="22" s="1"/>
  <c r="N61" i="22"/>
  <c r="P60" i="22"/>
  <c r="Q57" i="22" s="1"/>
  <c r="M63" i="22"/>
  <c r="D18" i="23" l="1"/>
  <c r="E18" i="23" s="1"/>
  <c r="G18" i="23" s="1"/>
  <c r="C19" i="23" s="1"/>
  <c r="N41" i="22"/>
  <c r="N63" i="22" s="1"/>
  <c r="G112" i="98"/>
  <c r="F33" i="69"/>
  <c r="P45" i="22"/>
  <c r="Q58" i="22"/>
  <c r="Q59" i="22" s="1"/>
  <c r="Q60" i="22"/>
  <c r="E39" i="21"/>
  <c r="F109" i="29"/>
  <c r="F110" i="29" s="1"/>
  <c r="H48" i="22"/>
  <c r="H61" i="22"/>
  <c r="G13" i="69" s="1"/>
  <c r="J12" i="95"/>
  <c r="I30" i="95"/>
  <c r="N42" i="22"/>
  <c r="O47" i="22"/>
  <c r="F30" i="21"/>
  <c r="H19" i="98"/>
  <c r="H20" i="98" s="1"/>
  <c r="H30" i="98" s="1"/>
  <c r="D19" i="23" l="1"/>
  <c r="E19" i="23" s="1"/>
  <c r="G19" i="23" s="1"/>
  <c r="C20" i="23" s="1"/>
  <c r="G33" i="69"/>
  <c r="H112" i="98"/>
  <c r="G166" i="29"/>
  <c r="G168" i="29" s="1"/>
  <c r="G169" i="29" s="1"/>
  <c r="G24" i="68"/>
  <c r="G181" i="29"/>
  <c r="G183" i="29" s="1"/>
  <c r="G184" i="29" s="1"/>
  <c r="H66" i="98"/>
  <c r="G211" i="29"/>
  <c r="G213" i="29" s="1"/>
  <c r="G214" i="29" s="1"/>
  <c r="G196" i="29"/>
  <c r="G198" i="29" s="1"/>
  <c r="G199" i="29" s="1"/>
  <c r="G43" i="29"/>
  <c r="G45" i="29" s="1"/>
  <c r="F32" i="21"/>
  <c r="F34" i="21" s="1"/>
  <c r="J14" i="95"/>
  <c r="J28" i="95"/>
  <c r="G15" i="69"/>
  <c r="I93" i="98"/>
  <c r="I95" i="98" s="1"/>
  <c r="O39" i="22"/>
  <c r="N64" i="22"/>
  <c r="H64" i="22"/>
  <c r="J18" i="22" s="1"/>
  <c r="J22" i="22" s="1"/>
  <c r="G29" i="21" s="1"/>
  <c r="I45" i="22"/>
  <c r="P46" i="22"/>
  <c r="P48" i="22"/>
  <c r="D20" i="23" l="1"/>
  <c r="E20" i="23" s="1"/>
  <c r="I112" i="98"/>
  <c r="H33" i="69"/>
  <c r="J112" i="98" s="1"/>
  <c r="Q45" i="22"/>
  <c r="I48" i="22"/>
  <c r="I64" i="22" s="1"/>
  <c r="K18" i="22" s="1"/>
  <c r="K22" i="22" s="1"/>
  <c r="H29" i="21" s="1"/>
  <c r="I61" i="22"/>
  <c r="H13" i="69" s="1"/>
  <c r="F39" i="21"/>
  <c r="G109" i="29"/>
  <c r="G110" i="29" s="1"/>
  <c r="P47" i="22"/>
  <c r="G30" i="21"/>
  <c r="I19" i="98"/>
  <c r="I20" i="98" s="1"/>
  <c r="I30" i="98" s="1"/>
  <c r="O40" i="22"/>
  <c r="O42" i="22" s="1"/>
  <c r="O61" i="22"/>
  <c r="K12" i="95"/>
  <c r="J30" i="95"/>
  <c r="G20" i="23" l="1"/>
  <c r="C21" i="23" s="1"/>
  <c r="P39" i="22"/>
  <c r="O64" i="22"/>
  <c r="O41" i="22"/>
  <c r="O62" i="22"/>
  <c r="F93" i="22" s="1"/>
  <c r="K14" i="95"/>
  <c r="K30" i="95" s="1"/>
  <c r="K28" i="95"/>
  <c r="H211" i="29"/>
  <c r="H213" i="29" s="1"/>
  <c r="H214" i="29" s="1"/>
  <c r="I66" i="98"/>
  <c r="H24" i="68"/>
  <c r="H166" i="29"/>
  <c r="H168" i="29" s="1"/>
  <c r="H169" i="29" s="1"/>
  <c r="H43" i="29"/>
  <c r="H45" i="29" s="1"/>
  <c r="H181" i="29"/>
  <c r="H183" i="29" s="1"/>
  <c r="H184" i="29" s="1"/>
  <c r="H196" i="29"/>
  <c r="H198" i="29" s="1"/>
  <c r="H199" i="29" s="1"/>
  <c r="G32" i="21"/>
  <c r="G34" i="21" s="1"/>
  <c r="H30" i="21"/>
  <c r="J19" i="98"/>
  <c r="J20" i="98" s="1"/>
  <c r="J30" i="98" s="1"/>
  <c r="Q46" i="22"/>
  <c r="Q48" i="22"/>
  <c r="Q47" i="22"/>
  <c r="H15" i="69"/>
  <c r="J93" i="98"/>
  <c r="J95" i="98" s="1"/>
  <c r="D21" i="23" l="1"/>
  <c r="O63" i="22"/>
  <c r="I196" i="29"/>
  <c r="I198" i="29" s="1"/>
  <c r="I199" i="29" s="1"/>
  <c r="I24" i="68"/>
  <c r="I211" i="29"/>
  <c r="I213" i="29" s="1"/>
  <c r="I214" i="29" s="1"/>
  <c r="J66" i="98"/>
  <c r="I43" i="29"/>
  <c r="I45" i="29" s="1"/>
  <c r="C47" i="29" s="1"/>
  <c r="D28" i="62" s="1"/>
  <c r="F134" i="98" s="1"/>
  <c r="I166" i="29"/>
  <c r="I168" i="29" s="1"/>
  <c r="I169" i="29" s="1"/>
  <c r="I181" i="29"/>
  <c r="I183" i="29" s="1"/>
  <c r="I184" i="29" s="1"/>
  <c r="H32" i="21"/>
  <c r="H34" i="21" s="1"/>
  <c r="G39" i="21"/>
  <c r="H109" i="29"/>
  <c r="H110" i="29" s="1"/>
  <c r="P40" i="22"/>
  <c r="P62" i="22" s="1"/>
  <c r="G93" i="22" s="1"/>
  <c r="P61" i="22"/>
  <c r="C27" i="68" l="1"/>
  <c r="E21" i="23"/>
  <c r="P42" i="22"/>
  <c r="Q39" i="22" s="1"/>
  <c r="P41" i="22"/>
  <c r="P63" i="22"/>
  <c r="P64" i="22"/>
  <c r="H39" i="21"/>
  <c r="I109" i="29"/>
  <c r="I110" i="29" s="1"/>
  <c r="C26" i="68" l="1"/>
  <c r="G21" i="23"/>
  <c r="D71" i="98"/>
  <c r="E22" i="96"/>
  <c r="B41" i="21"/>
  <c r="Q40" i="22"/>
  <c r="Q42" i="22"/>
  <c r="Q64" i="22" s="1"/>
  <c r="Q61" i="22"/>
  <c r="B28" i="69" l="1"/>
  <c r="C22" i="23"/>
  <c r="D72" i="98"/>
  <c r="D22" i="96"/>
  <c r="C112" i="29"/>
  <c r="C114" i="29" s="1"/>
  <c r="D34" i="98"/>
  <c r="D35" i="98" s="1"/>
  <c r="B43" i="21"/>
  <c r="Q62" i="22"/>
  <c r="H93" i="22" s="1"/>
  <c r="Q41" i="22"/>
  <c r="Q63" i="22" s="1"/>
  <c r="B91" i="22" l="1"/>
  <c r="B94" i="22" s="1"/>
  <c r="B95" i="22" s="1"/>
  <c r="B44" i="21" s="1"/>
  <c r="J34" i="21"/>
  <c r="J36" i="21" s="1"/>
  <c r="D22" i="23"/>
  <c r="B31" i="69"/>
  <c r="D107" i="98"/>
  <c r="C22" i="96"/>
  <c r="E22" i="23" l="1"/>
  <c r="B45" i="21"/>
  <c r="D37" i="98"/>
  <c r="D38" i="98" s="1"/>
  <c r="D40" i="98" s="1"/>
  <c r="C30" i="68"/>
  <c r="G22" i="23" l="1"/>
  <c r="C23" i="23" s="1"/>
  <c r="C33" i="68"/>
  <c r="C34" i="68" s="1"/>
  <c r="C36" i="68" s="1"/>
  <c r="D73" i="98"/>
  <c r="D75" i="98" s="1"/>
  <c r="D76" i="98" s="1"/>
  <c r="D78" i="98" s="1"/>
  <c r="E77" i="98" s="1"/>
  <c r="C47" i="21"/>
  <c r="B48" i="21"/>
  <c r="C79" i="29"/>
  <c r="D94" i="29"/>
  <c r="D97" i="29" s="1"/>
  <c r="D98" i="29" s="1"/>
  <c r="D7" i="29"/>
  <c r="D12" i="29" s="1"/>
  <c r="D13" i="29" s="1"/>
  <c r="C57" i="29"/>
  <c r="C62" i="29" s="1"/>
  <c r="C66" i="29" s="1"/>
  <c r="B37" i="69" l="1"/>
  <c r="D23" i="23"/>
  <c r="D35" i="68"/>
  <c r="B8" i="69"/>
  <c r="E39" i="98"/>
  <c r="D32" i="68"/>
  <c r="B11" i="69" l="1"/>
  <c r="B20" i="69" s="1"/>
  <c r="D88" i="98"/>
  <c r="D91" i="98" s="1"/>
  <c r="D99" i="98" s="1"/>
  <c r="E23" i="23"/>
  <c r="C38" i="69"/>
  <c r="E117" i="98" s="1"/>
  <c r="E74" i="98"/>
  <c r="B39" i="69"/>
  <c r="D116" i="98"/>
  <c r="B41" i="69" l="1"/>
  <c r="D118" i="98"/>
  <c r="C36" i="69"/>
  <c r="G23" i="23"/>
  <c r="C24" i="23" s="1"/>
  <c r="E115" i="98" l="1"/>
  <c r="D24" i="23"/>
  <c r="D120" i="98"/>
  <c r="B43" i="69"/>
  <c r="E24" i="23" l="1"/>
  <c r="D122" i="98"/>
  <c r="D123" i="98" s="1"/>
  <c r="B46" i="69"/>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E71" i="98" l="1"/>
  <c r="E23" i="96"/>
  <c r="C41" i="21"/>
  <c r="D26" i="68"/>
  <c r="G33" i="23"/>
  <c r="E72" i="98" l="1"/>
  <c r="D112" i="29"/>
  <c r="D114" i="29" s="1"/>
  <c r="D23" i="96"/>
  <c r="C34" i="23"/>
  <c r="C28" i="69"/>
  <c r="E34" i="98"/>
  <c r="E35" i="98" s="1"/>
  <c r="C43" i="21"/>
  <c r="C91" i="22" s="1"/>
  <c r="C94" i="22" s="1"/>
  <c r="C95" i="22" s="1"/>
  <c r="C44" i="21" s="1"/>
  <c r="C23" i="96" l="1"/>
  <c r="E107" i="98"/>
  <c r="C31" i="69"/>
  <c r="C45" i="21"/>
  <c r="E37" i="98"/>
  <c r="E38" i="98" s="1"/>
  <c r="E40" i="98" s="1"/>
  <c r="D30" i="68"/>
  <c r="D34" i="23"/>
  <c r="E73" i="98" l="1"/>
  <c r="E75" i="98" s="1"/>
  <c r="E76" i="98" s="1"/>
  <c r="E78" i="98" s="1"/>
  <c r="F77" i="98" s="1"/>
  <c r="D33" i="68"/>
  <c r="D34" i="68" s="1"/>
  <c r="D36" i="68" s="1"/>
  <c r="C37" i="69"/>
  <c r="D47" i="21"/>
  <c r="E94" i="29"/>
  <c r="E97" i="29" s="1"/>
  <c r="E98" i="29" s="1"/>
  <c r="D57" i="29"/>
  <c r="D62" i="29" s="1"/>
  <c r="D66" i="29" s="1"/>
  <c r="D79" i="29"/>
  <c r="E7" i="29"/>
  <c r="E12" i="29" s="1"/>
  <c r="C48" i="21"/>
  <c r="E34" i="23"/>
  <c r="G34" i="23" l="1"/>
  <c r="C35" i="23" s="1"/>
  <c r="C8" i="69"/>
  <c r="E35" i="68"/>
  <c r="E116" i="98"/>
  <c r="C39" i="69"/>
  <c r="E13" i="29"/>
  <c r="E32" i="68"/>
  <c r="F39" i="98"/>
  <c r="F74" i="98" l="1"/>
  <c r="D38" i="69"/>
  <c r="F117" i="98" s="1"/>
  <c r="D35" i="23"/>
  <c r="E88" i="98"/>
  <c r="E91" i="98" s="1"/>
  <c r="E99" i="98" s="1"/>
  <c r="C11" i="69"/>
  <c r="C20" i="69" s="1"/>
  <c r="D36" i="69"/>
  <c r="E118" i="98"/>
  <c r="C41" i="69"/>
  <c r="E35" i="23" l="1"/>
  <c r="F115" i="98"/>
  <c r="E120" i="98"/>
  <c r="C43" i="69"/>
  <c r="C46" i="69" l="1"/>
  <c r="E122" i="98"/>
  <c r="E123" i="98" s="1"/>
  <c r="G35" i="23"/>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F71" i="98" l="1"/>
  <c r="E24" i="96"/>
  <c r="D41" i="21"/>
  <c r="E26" i="68"/>
  <c r="G45" i="23"/>
  <c r="F72" i="98" l="1"/>
  <c r="E112" i="29"/>
  <c r="E114" i="29" s="1"/>
  <c r="D24" i="96"/>
  <c r="F34" i="98"/>
  <c r="F35" i="98" s="1"/>
  <c r="D43" i="21"/>
  <c r="C46" i="23"/>
  <c r="D28" i="69"/>
  <c r="C24" i="96" l="1"/>
  <c r="F107" i="98"/>
  <c r="D31" i="69"/>
  <c r="D46" i="23"/>
  <c r="D91" i="22"/>
  <c r="D94" i="22" s="1"/>
  <c r="D95" i="22" s="1"/>
  <c r="D44" i="21" s="1"/>
  <c r="E30" i="68" l="1"/>
  <c r="F37" i="98"/>
  <c r="F38" i="98" s="1"/>
  <c r="F40" i="98" s="1"/>
  <c r="D45" i="21"/>
  <c r="E46" i="23"/>
  <c r="E47" i="21" l="1"/>
  <c r="F94" i="29"/>
  <c r="F97" i="29" s="1"/>
  <c r="F98" i="29" s="1"/>
  <c r="D37" i="69"/>
  <c r="E79" i="29"/>
  <c r="E57" i="29"/>
  <c r="E62" i="29" s="1"/>
  <c r="E66" i="29" s="1"/>
  <c r="F7" i="29"/>
  <c r="F12" i="29" s="1"/>
  <c r="D48" i="21"/>
  <c r="G46" i="23"/>
  <c r="C47" i="23" s="1"/>
  <c r="F73" i="98"/>
  <c r="F75" i="98" s="1"/>
  <c r="F76" i="98" s="1"/>
  <c r="F78" i="98" s="1"/>
  <c r="G77" i="98" s="1"/>
  <c r="E33" i="68"/>
  <c r="E34" i="68" s="1"/>
  <c r="E36" i="68" s="1"/>
  <c r="D8" i="69" l="1"/>
  <c r="F35" i="68"/>
  <c r="F116" i="98"/>
  <c r="D39" i="69"/>
  <c r="F13" i="29"/>
  <c r="D47" i="23"/>
  <c r="G39" i="98"/>
  <c r="F32" i="68"/>
  <c r="E38" i="69" l="1"/>
  <c r="G117" i="98" s="1"/>
  <c r="G74" i="98"/>
  <c r="E47" i="23"/>
  <c r="F118" i="98"/>
  <c r="D41" i="69"/>
  <c r="E36" i="69"/>
  <c r="D11" i="69"/>
  <c r="D20" i="69" s="1"/>
  <c r="F88" i="98"/>
  <c r="F91" i="98" s="1"/>
  <c r="F99" i="98" s="1"/>
  <c r="G115" i="98" l="1"/>
  <c r="G47" i="23"/>
  <c r="C48" i="23" s="1"/>
  <c r="F120" i="98"/>
  <c r="D43" i="69"/>
  <c r="D48" i="23" l="1"/>
  <c r="D46" i="69"/>
  <c r="F122" i="98"/>
  <c r="F123" i="98" s="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E25" i="96" l="1"/>
  <c r="G71" i="98"/>
  <c r="E41" i="21"/>
  <c r="F26" i="68"/>
  <c r="G57" i="23"/>
  <c r="G34" i="98" l="1"/>
  <c r="G35" i="98" s="1"/>
  <c r="E43" i="21"/>
  <c r="E91" i="22" s="1"/>
  <c r="E94" i="22" s="1"/>
  <c r="E95" i="22" s="1"/>
  <c r="E44" i="21" s="1"/>
  <c r="D25" i="96"/>
  <c r="G72" i="98"/>
  <c r="F112" i="29"/>
  <c r="F114" i="29" s="1"/>
  <c r="C116" i="29" s="1"/>
  <c r="D33" i="62" s="1"/>
  <c r="F135" i="98" s="1"/>
  <c r="C58" i="23"/>
  <c r="E28" i="69"/>
  <c r="D58" i="23" l="1"/>
  <c r="G107" i="98"/>
  <c r="C25" i="96"/>
  <c r="E31" i="69"/>
  <c r="E45" i="21"/>
  <c r="G37" i="98"/>
  <c r="G38" i="98" s="1"/>
  <c r="G40" i="98" s="1"/>
  <c r="F30" i="68"/>
  <c r="F47" i="21" l="1"/>
  <c r="F79" i="29"/>
  <c r="F57" i="29"/>
  <c r="F62" i="29" s="1"/>
  <c r="F66" i="29" s="1"/>
  <c r="G94" i="29"/>
  <c r="G97" i="29" s="1"/>
  <c r="G98" i="29" s="1"/>
  <c r="G7" i="29"/>
  <c r="G12" i="29" s="1"/>
  <c r="E37" i="69"/>
  <c r="E48" i="21"/>
  <c r="G73" i="98"/>
  <c r="G75" i="98" s="1"/>
  <c r="G76" i="98" s="1"/>
  <c r="G78" i="98" s="1"/>
  <c r="H77" i="98" s="1"/>
  <c r="F33" i="68"/>
  <c r="F34" i="68" s="1"/>
  <c r="F36" i="68" s="1"/>
  <c r="E58" i="23"/>
  <c r="G58" i="23" l="1"/>
  <c r="C59" i="23" s="1"/>
  <c r="G116" i="98"/>
  <c r="E39" i="69"/>
  <c r="G35" i="68"/>
  <c r="E8" i="69"/>
  <c r="G13" i="29"/>
  <c r="H39" i="98"/>
  <c r="G32" i="68"/>
  <c r="D59" i="23" l="1"/>
  <c r="H74" i="98"/>
  <c r="F38" i="69"/>
  <c r="H117" i="98" s="1"/>
  <c r="G88" i="98"/>
  <c r="G91" i="98" s="1"/>
  <c r="G99" i="98" s="1"/>
  <c r="E11" i="69"/>
  <c r="E20" i="69" s="1"/>
  <c r="E41" i="69"/>
  <c r="F36" i="69"/>
  <c r="G118" i="98"/>
  <c r="H115" i="98" l="1"/>
  <c r="G120" i="98"/>
  <c r="E43" i="69"/>
  <c r="E59" i="23"/>
  <c r="E46" i="69" l="1"/>
  <c r="G122" i="98"/>
  <c r="G123" i="98" s="1"/>
  <c r="G59" i="23"/>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H71" i="98" l="1"/>
  <c r="E26" i="96"/>
  <c r="F41" i="21"/>
  <c r="G26" i="68"/>
  <c r="G69" i="23"/>
  <c r="D26" i="96" l="1"/>
  <c r="H72" i="98"/>
  <c r="G112" i="29"/>
  <c r="C70" i="23"/>
  <c r="F28" i="69"/>
  <c r="H34" i="98"/>
  <c r="H35" i="98" s="1"/>
  <c r="F43" i="21"/>
  <c r="F91" i="22" l="1"/>
  <c r="F94" i="22" s="1"/>
  <c r="F95" i="22" s="1"/>
  <c r="F44" i="21" s="1"/>
  <c r="F45" i="21" s="1"/>
  <c r="H107" i="98"/>
  <c r="C26" i="96"/>
  <c r="F31" i="69"/>
  <c r="D70" i="23"/>
  <c r="H94" i="29" l="1"/>
  <c r="H97" i="29" s="1"/>
  <c r="H7" i="29"/>
  <c r="H12" i="29" s="1"/>
  <c r="G57" i="29"/>
  <c r="G62" i="29" s="1"/>
  <c r="G66" i="29" s="1"/>
  <c r="G47" i="21"/>
  <c r="F37" i="69"/>
  <c r="G79" i="29"/>
  <c r="F48" i="21"/>
  <c r="E70" i="23"/>
  <c r="H37" i="98"/>
  <c r="H38" i="98" s="1"/>
  <c r="H40" i="98" s="1"/>
  <c r="G30" i="68"/>
  <c r="H73" i="98" l="1"/>
  <c r="H75" i="98" s="1"/>
  <c r="H76" i="98" s="1"/>
  <c r="H78" i="98" s="1"/>
  <c r="I77" i="98" s="1"/>
  <c r="G33" i="68"/>
  <c r="G34" i="68" s="1"/>
  <c r="G36" i="68" s="1"/>
  <c r="I39" i="98"/>
  <c r="H32" i="68"/>
  <c r="H13" i="29"/>
  <c r="G70" i="23"/>
  <c r="C71" i="23" s="1"/>
  <c r="H116" i="98"/>
  <c r="F39" i="69"/>
  <c r="H98" i="29"/>
  <c r="D100" i="29"/>
  <c r="D32" i="62" s="1"/>
  <c r="F133" i="98" s="1"/>
  <c r="I74" i="98" l="1"/>
  <c r="G38" i="69"/>
  <c r="I117" i="98" s="1"/>
  <c r="H118" i="98"/>
  <c r="F41" i="69"/>
  <c r="G36" i="69"/>
  <c r="F8" i="69"/>
  <c r="H35" i="68"/>
  <c r="D71" i="23"/>
  <c r="I115" i="98" l="1"/>
  <c r="E71" i="23"/>
  <c r="H120" i="98"/>
  <c r="F43" i="69"/>
  <c r="F11" i="69"/>
  <c r="F20" i="69" s="1"/>
  <c r="H88" i="98"/>
  <c r="H91" i="98" s="1"/>
  <c r="H99" i="98" s="1"/>
  <c r="G71" i="23" l="1"/>
  <c r="C72" i="23" s="1"/>
  <c r="H122" i="98"/>
  <c r="H123" i="98" s="1"/>
  <c r="F46" i="69"/>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I71" i="98" l="1"/>
  <c r="E27" i="96"/>
  <c r="G41" i="21"/>
  <c r="H26" i="68"/>
  <c r="G81" i="23"/>
  <c r="C82" i="23" l="1"/>
  <c r="G28" i="69"/>
  <c r="I34" i="98"/>
  <c r="I35" i="98" s="1"/>
  <c r="G43" i="21"/>
  <c r="I72" i="98"/>
  <c r="H112" i="29"/>
  <c r="D27" i="96"/>
  <c r="G91" i="22" l="1"/>
  <c r="G94" i="22" s="1"/>
  <c r="G95" i="22" s="1"/>
  <c r="G44" i="21" s="1"/>
  <c r="I107" i="98"/>
  <c r="C27" i="96"/>
  <c r="G31" i="69"/>
  <c r="D82" i="23"/>
  <c r="H30" i="68" l="1"/>
  <c r="I37" i="98"/>
  <c r="I38" i="98" s="1"/>
  <c r="I40" i="98" s="1"/>
  <c r="E82" i="23"/>
  <c r="G45" i="21"/>
  <c r="G82" i="23" l="1"/>
  <c r="C83" i="23" s="1"/>
  <c r="I7" i="29"/>
  <c r="I12" i="29" s="1"/>
  <c r="H57" i="29"/>
  <c r="H62" i="29" s="1"/>
  <c r="H66" i="29" s="1"/>
  <c r="H79" i="29"/>
  <c r="G37" i="69"/>
  <c r="H47" i="21"/>
  <c r="I94" i="29"/>
  <c r="I97" i="29" s="1"/>
  <c r="G48" i="21"/>
  <c r="I73" i="98"/>
  <c r="I75" i="98" s="1"/>
  <c r="I76" i="98" s="1"/>
  <c r="I78" i="98" s="1"/>
  <c r="J77" i="98" s="1"/>
  <c r="H33" i="68"/>
  <c r="H34" i="68" s="1"/>
  <c r="H36" i="68" s="1"/>
  <c r="I13" i="29" l="1"/>
  <c r="I116" i="98"/>
  <c r="G39" i="69"/>
  <c r="D83" i="23"/>
  <c r="I35" i="68"/>
  <c r="G8" i="69"/>
  <c r="I32" i="68"/>
  <c r="J39" i="98"/>
  <c r="H36" i="69" l="1"/>
  <c r="I118" i="98"/>
  <c r="G41" i="69"/>
  <c r="E83" i="23"/>
  <c r="G11" i="69"/>
  <c r="G20" i="69" s="1"/>
  <c r="I88" i="98"/>
  <c r="I91" i="98" s="1"/>
  <c r="I99" i="98" s="1"/>
  <c r="H38" i="69"/>
  <c r="J117" i="98" s="1"/>
  <c r="J74" i="98"/>
  <c r="G83" i="23" l="1"/>
  <c r="C84" i="23" s="1"/>
  <c r="I120" i="98"/>
  <c r="G43" i="69"/>
  <c r="J115" i="98"/>
  <c r="I122" i="98" l="1"/>
  <c r="I123" i="98" s="1"/>
  <c r="G46" i="69"/>
  <c r="D84" i="23"/>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J71" i="98" l="1"/>
  <c r="E28" i="96"/>
  <c r="H41" i="21"/>
  <c r="E94" i="23"/>
  <c r="I26" i="68"/>
  <c r="G93" i="23"/>
  <c r="J34" i="98" l="1"/>
  <c r="J35" i="98" s="1"/>
  <c r="H43" i="21"/>
  <c r="J72" i="98"/>
  <c r="D28" i="96"/>
  <c r="I112" i="29"/>
  <c r="H91" i="22" l="1"/>
  <c r="H94" i="22" s="1"/>
  <c r="H95" i="22" s="1"/>
  <c r="H44" i="21" s="1"/>
  <c r="H45" i="21" s="1"/>
  <c r="I57" i="29" l="1"/>
  <c r="I62" i="29" s="1"/>
  <c r="I66" i="29" s="1"/>
  <c r="C68" i="29" s="1"/>
  <c r="C72" i="29" s="1"/>
  <c r="D31" i="62" s="1"/>
  <c r="F131" i="98" s="1"/>
  <c r="H37" i="69"/>
  <c r="I79" i="29"/>
  <c r="C81" i="29" s="1"/>
  <c r="C84" i="29" s="1"/>
  <c r="D29" i="62" s="1"/>
  <c r="F130" i="98" s="1"/>
  <c r="J7" i="29"/>
  <c r="J12" i="29" s="1"/>
  <c r="J13" i="29" s="1"/>
  <c r="C14" i="29" s="1"/>
  <c r="J94" i="29"/>
  <c r="J97" i="29" s="1"/>
  <c r="H48" i="21"/>
  <c r="J37" i="98"/>
  <c r="J38" i="98" s="1"/>
  <c r="J40" i="98" s="1"/>
  <c r="I30" i="68"/>
  <c r="D16" i="29" l="1"/>
  <c r="D30" i="62"/>
  <c r="F132" i="98" s="1"/>
  <c r="J116" i="98"/>
  <c r="H39" i="69"/>
  <c r="J73" i="98"/>
  <c r="J75" i="98" s="1"/>
  <c r="J76" i="98" s="1"/>
  <c r="J78" i="98" s="1"/>
  <c r="I33" i="68"/>
  <c r="I34" i="68" s="1"/>
  <c r="I36" i="68" s="1"/>
  <c r="H8" i="69" s="1"/>
  <c r="H41" i="69" l="1"/>
  <c r="J118" i="98"/>
  <c r="H11" i="69"/>
  <c r="H20" i="69" s="1"/>
  <c r="J88" i="98"/>
  <c r="J91" i="98" s="1"/>
  <c r="J99" i="98" s="1"/>
  <c r="E16" i="29"/>
  <c r="D17" i="29"/>
  <c r="F16" i="29" l="1"/>
  <c r="E17" i="29"/>
  <c r="H43" i="69"/>
  <c r="J120" i="98"/>
  <c r="G16" i="29" l="1"/>
  <c r="F17" i="29"/>
  <c r="J122" i="98"/>
  <c r="J123" i="98" s="1"/>
  <c r="H46" i="69"/>
  <c r="H16" i="29" l="1"/>
  <c r="G17" i="29"/>
  <c r="I16" i="29" l="1"/>
  <c r="H17" i="29"/>
  <c r="J16" i="29" l="1"/>
  <c r="J17" i="29" s="1"/>
  <c r="I17" i="29"/>
  <c r="D18" i="29" l="1"/>
  <c r="F21" i="29" s="1"/>
</calcChain>
</file>

<file path=xl/sharedStrings.xml><?xml version="1.0" encoding="utf-8"?>
<sst xmlns="http://schemas.openxmlformats.org/spreadsheetml/2006/main" count="2695" uniqueCount="1332">
  <si>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</si>
  <si>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</si>
  <si>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</si>
  <si>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</si>
  <si>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</si>
  <si>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</si>
  <si>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</si>
  <si>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</si>
  <si>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</si>
  <si>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</si>
  <si>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</si>
  <si>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</si>
  <si>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</si>
  <si>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</si>
  <si>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</si>
  <si>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</si>
  <si>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</si>
  <si>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</si>
  <si>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</si>
  <si>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</si>
  <si>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</si>
  <si>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</si>
  <si>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</si>
  <si>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</si>
  <si>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</si>
  <si>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</si>
  <si>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</si>
  <si>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</si>
  <si>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</si>
  <si>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</si>
  <si>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</si>
  <si>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</si>
  <si>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</si>
  <si>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</si>
  <si>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</si>
  <si>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</si>
  <si>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</si>
  <si>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</si>
  <si>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</si>
  <si>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</si>
  <si>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</si>
  <si>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</si>
  <si>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</si>
  <si>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</si>
  <si>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</si>
  <si>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</si>
  <si>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</si>
  <si>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</si>
  <si>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</si>
  <si>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</si>
  <si>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</si>
  <si>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</si>
  <si>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</si>
  <si>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</si>
  <si>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</si>
  <si>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</si>
  <si>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</si>
  <si>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</si>
  <si>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</si>
  <si>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</si>
  <si>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</si>
  <si>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</si>
  <si>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</si>
  <si>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</si>
  <si>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</si>
  <si>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</si>
  <si>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</si>
  <si>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</si>
  <si>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</si>
  <si>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</si>
  <si>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</si>
  <si>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</si>
  <si>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</si>
  <si>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</si>
  <si>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</si>
  <si>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</si>
  <si>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</si>
  <si>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</si>
  <si>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</si>
  <si>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</si>
  <si>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</si>
  <si>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</si>
  <si>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</si>
  <si>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</si>
  <si>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</si>
  <si>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</si>
  <si>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</si>
  <si>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</si>
  <si>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</si>
  <si>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</si>
  <si>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</si>
  <si>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</si>
  <si>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</si>
  <si>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</si>
  <si>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</si>
  <si>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</si>
  <si>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</si>
  <si>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</si>
  <si>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</si>
  <si>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</si>
  <si>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</si>
  <si>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</si>
  <si>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</si>
  <si>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</si>
  <si>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</si>
  <si>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</si>
  <si>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</si>
  <si>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</si>
  <si>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</si>
  <si>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</si>
  <si>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</si>
  <si>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</si>
  <si>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</si>
  <si>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</si>
  <si>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</si>
  <si>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</si>
  <si>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</si>
  <si>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</si>
  <si>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</si>
  <si>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</si>
  <si>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</si>
  <si>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</si>
  <si>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</si>
  <si>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</si>
  <si>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</si>
  <si>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</si>
  <si>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</si>
  <si>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</si>
  <si>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</si>
  <si>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</si>
  <si>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Unit</t>
  </si>
  <si>
    <t>Average BEP</t>
  </si>
  <si>
    <t>Own Contribution</t>
  </si>
  <si>
    <t>Operating cost</t>
  </si>
  <si>
    <t>Amortization</t>
  </si>
  <si>
    <t>Profit Before Interest and Tax</t>
  </si>
  <si>
    <t>Output</t>
  </si>
  <si>
    <t>Husk and Powder</t>
  </si>
  <si>
    <t>Expenses</t>
  </si>
  <si>
    <t>Total Revenue</t>
  </si>
  <si>
    <t>Electricity Charges</t>
  </si>
  <si>
    <t>Sr. No.</t>
  </si>
  <si>
    <t>No. of Unit</t>
  </si>
  <si>
    <t>Rate per unit</t>
  </si>
  <si>
    <t>Land</t>
  </si>
  <si>
    <t>Sq. ft.</t>
  </si>
  <si>
    <t>Lease</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</si>
  <si>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</si>
  <si>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</si>
  <si>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</si>
  <si>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</si>
  <si>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</si>
  <si>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</si>
  <si>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</si>
  <si>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</si>
  <si>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</si>
  <si>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</si>
  <si>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</si>
  <si>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</si>
  <si>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</si>
  <si>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</si>
  <si>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</si>
  <si>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</si>
  <si>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</si>
  <si>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</si>
  <si>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</si>
  <si>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</si>
  <si>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</si>
  <si>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</si>
  <si>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</si>
  <si>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</si>
  <si>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</si>
  <si>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</si>
  <si>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</si>
  <si>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</si>
  <si>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</si>
  <si>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</si>
  <si>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</si>
  <si>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</si>
  <si>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</si>
  <si>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</si>
  <si>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</si>
  <si>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</si>
  <si>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</si>
  <si>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</si>
  <si>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</si>
  <si>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</si>
  <si>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</si>
  <si>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</si>
  <si>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</si>
  <si>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</si>
  <si>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</si>
  <si>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</si>
  <si>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</si>
  <si>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</si>
  <si>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</si>
  <si>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</si>
  <si>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</si>
  <si>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</si>
  <si>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</si>
  <si>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</si>
  <si>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</si>
  <si>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</si>
  <si>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</si>
  <si>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</si>
  <si>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</si>
  <si>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</si>
  <si>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</si>
  <si>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</si>
  <si>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</si>
  <si>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</si>
  <si>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</si>
  <si>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</si>
  <si>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</si>
  <si>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</si>
  <si>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</si>
  <si>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</si>
  <si>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</si>
  <si>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</si>
  <si>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</si>
  <si>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</si>
  <si>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</si>
  <si>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</si>
  <si>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</si>
  <si>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</si>
  <si>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</si>
  <si>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</si>
  <si>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</si>
  <si>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</si>
  <si>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</si>
  <si>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</si>
  <si>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</si>
  <si>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</si>
  <si>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</si>
  <si>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</si>
  <si>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</si>
  <si>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</si>
  <si>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</si>
  <si>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</si>
  <si>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</si>
  <si>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</si>
  <si>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</si>
  <si>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</si>
  <si>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</si>
  <si>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</si>
  <si>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</si>
  <si>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</si>
  <si>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</si>
  <si>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</si>
  <si>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</si>
  <si>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</si>
  <si>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</si>
  <si>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</si>
  <si>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</si>
  <si>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</si>
  <si>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</si>
  <si>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</si>
  <si>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</si>
  <si>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</si>
  <si>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</si>
  <si>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</si>
  <si>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</si>
  <si>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</si>
  <si>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</si>
  <si>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</si>
  <si>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</si>
  <si>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</si>
  <si>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</si>
  <si>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</si>
  <si>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</si>
  <si>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</si>
  <si>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</si>
  <si>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</si>
  <si>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</si>
  <si>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</si>
  <si>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</si>
  <si>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</si>
  <si>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</si>
  <si>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</si>
  <si>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</si>
  <si>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</si>
  <si>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</si>
  <si>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</si>
  <si>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</si>
  <si>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</si>
  <si>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</si>
  <si>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</si>
  <si>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</si>
  <si>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</si>
  <si>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</si>
  <si>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</si>
  <si>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</si>
  <si>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</si>
  <si>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</si>
  <si>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</si>
  <si>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</si>
  <si>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</si>
  <si>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</si>
  <si>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</si>
  <si>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</si>
  <si>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</si>
  <si>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</si>
  <si>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</si>
  <si>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</si>
  <si>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</si>
  <si>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</si>
  <si>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</si>
  <si>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</si>
  <si>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</si>
  <si>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</si>
  <si>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</si>
  <si>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</si>
  <si>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</si>
  <si>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</si>
  <si>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</si>
  <si>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</si>
  <si>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</si>
  <si>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</si>
  <si>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</si>
  <si>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</si>
  <si>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</si>
  <si>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</si>
  <si>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</si>
  <si>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</si>
  <si>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</si>
  <si>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</si>
  <si>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</si>
  <si>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</si>
  <si>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</si>
  <si>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</si>
  <si>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</si>
  <si>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</si>
  <si>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</si>
  <si>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</si>
  <si>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</si>
  <si>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</si>
  <si>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</si>
  <si>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</si>
  <si>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</si>
  <si>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</si>
  <si>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</si>
  <si>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</si>
  <si>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</si>
  <si>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</si>
  <si>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</si>
  <si>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</si>
  <si>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</si>
  <si>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</si>
  <si>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</si>
  <si>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</si>
  <si>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</si>
  <si>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</si>
  <si>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</si>
  <si>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</si>
  <si>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</si>
  <si>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</si>
  <si>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</si>
  <si>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</si>
  <si>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</si>
  <si>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</si>
  <si>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</si>
  <si>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</si>
  <si>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</si>
  <si>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</si>
  <si>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</si>
  <si>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</si>
  <si>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</si>
  <si>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Furniture and Fixture</t>
  </si>
  <si>
    <t>Profit after Tax &amp; Dividend</t>
  </si>
  <si>
    <t>Break Even Point (BEP)</t>
  </si>
  <si>
    <t>Project Viable</t>
  </si>
  <si>
    <t>&lt;60%</t>
  </si>
  <si>
    <t>Avg. Return on Capital Employed Average (ROCE)</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</si>
  <si>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</si>
  <si>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</si>
  <si>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</si>
  <si>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</si>
  <si>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</si>
  <si>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</si>
  <si>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</si>
  <si>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</si>
  <si>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</si>
  <si>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</si>
  <si>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</si>
  <si>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</si>
  <si>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Maximum Tax rate</t>
  </si>
  <si>
    <t>Season</t>
  </si>
  <si>
    <t>Crop</t>
  </si>
  <si>
    <t>Total Production (In Quintals)</t>
  </si>
  <si>
    <t>Marketable Surplus ( In Quintals)</t>
  </si>
  <si>
    <t>Kharif</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</si>
  <si>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</si>
  <si>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</si>
  <si>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</si>
  <si>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</si>
  <si>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</si>
  <si>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</si>
  <si>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</si>
  <si>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</si>
  <si>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</si>
  <si>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</si>
  <si>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</si>
  <si>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</si>
  <si>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</si>
  <si>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</si>
  <si>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</si>
  <si>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</si>
  <si>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</si>
  <si>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</si>
  <si>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</si>
  <si>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</si>
  <si>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</si>
  <si>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</si>
  <si>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</si>
  <si>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</si>
  <si>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</si>
  <si>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</si>
  <si>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</si>
  <si>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</si>
  <si>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</si>
  <si>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</si>
  <si>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</si>
  <si>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</si>
  <si>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</si>
  <si>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</si>
  <si>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</si>
  <si>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</si>
  <si>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</si>
  <si>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</si>
  <si>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</si>
  <si>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</si>
  <si>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</si>
  <si>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</si>
  <si>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Total No. of Days Labour Reuired</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</si>
  <si>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</si>
  <si>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</si>
  <si>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</si>
  <si>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</si>
  <si>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</si>
  <si>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</si>
  <si>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</si>
  <si>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</si>
  <si>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</si>
  <si>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</si>
  <si>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</si>
  <si>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</si>
  <si>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</si>
  <si>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</si>
  <si>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</si>
  <si>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</si>
  <si>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</si>
  <si>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</si>
  <si>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</si>
  <si>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</si>
  <si>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</si>
  <si>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</si>
  <si>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</si>
  <si>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</si>
  <si>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</si>
  <si>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</si>
  <si>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</si>
  <si>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</si>
  <si>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</si>
  <si>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</si>
  <si>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</si>
  <si>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</si>
  <si>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Black Gram/Udid</t>
  </si>
  <si>
    <t>Paddy/Rice</t>
  </si>
  <si>
    <t>Red Gram/Tur</t>
  </si>
  <si>
    <t>Sunflower</t>
  </si>
  <si>
    <t>Safflower</t>
  </si>
  <si>
    <t>Groundnut</t>
  </si>
  <si>
    <t>Area Under Summer Cultivation ( In Acres)</t>
  </si>
  <si>
    <t>Area Under Rabbi Cultivation ( In Acres)</t>
  </si>
  <si>
    <t>Onion</t>
  </si>
  <si>
    <t>Tomato</t>
  </si>
  <si>
    <t>Okra</t>
  </si>
  <si>
    <t>Chilli</t>
  </si>
  <si>
    <t>Potato</t>
  </si>
  <si>
    <t>Pomegranate</t>
  </si>
  <si>
    <t>Custard Apple</t>
  </si>
  <si>
    <t>Guava</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</si>
  <si>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</si>
  <si>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</si>
  <si>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</si>
  <si>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</si>
  <si>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</si>
  <si>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</si>
  <si>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</si>
  <si>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</si>
  <si>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</si>
  <si>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</si>
  <si>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</si>
  <si>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</si>
  <si>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</si>
  <si>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</si>
  <si>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</si>
  <si>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</si>
  <si>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</si>
  <si>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</si>
  <si>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</si>
  <si>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</si>
  <si>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</si>
  <si>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</si>
  <si>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</si>
  <si>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</si>
  <si>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</si>
  <si>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</si>
  <si>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</si>
  <si>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</si>
  <si>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</si>
  <si>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</si>
  <si>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</si>
  <si>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</si>
  <si>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</si>
  <si>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</si>
  <si>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</si>
  <si>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</si>
  <si>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</si>
  <si>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</si>
  <si>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</si>
  <si>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</si>
  <si>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</si>
  <si>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</si>
  <si>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</si>
  <si>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</si>
  <si>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</si>
  <si>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</si>
  <si>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</si>
  <si>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</si>
  <si>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</si>
  <si>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</si>
  <si>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</si>
  <si>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</si>
  <si>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</si>
  <si>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</si>
  <si>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</si>
  <si>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</si>
  <si>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</si>
  <si>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</si>
  <si>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</si>
  <si>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</si>
  <si>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</si>
  <si>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</si>
  <si>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</si>
  <si>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</si>
  <si>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</si>
  <si>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</si>
  <si>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</si>
  <si>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</si>
  <si>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</si>
  <si>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</si>
  <si>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</si>
  <si>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</si>
  <si>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</si>
  <si>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</si>
  <si>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</si>
  <si>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</si>
  <si>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</si>
  <si>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</si>
  <si>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</si>
  <si>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</si>
  <si>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</si>
  <si>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</si>
  <si>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</si>
  <si>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</si>
  <si>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</si>
  <si>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</si>
  <si>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</si>
  <si>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</si>
  <si>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</si>
  <si>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</si>
  <si>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</si>
  <si>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</si>
  <si>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</si>
  <si>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</si>
  <si>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</si>
  <si>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</si>
  <si>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</si>
  <si>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</si>
  <si>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</si>
  <si>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</si>
  <si>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</si>
  <si>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</si>
  <si>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</si>
  <si>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</si>
  <si>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</si>
  <si>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</si>
  <si>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</si>
  <si>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</si>
  <si>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</si>
  <si>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</si>
  <si>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</si>
  <si>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</si>
  <si>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</si>
  <si>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</si>
  <si>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</si>
  <si>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</si>
  <si>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</si>
  <si>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</si>
  <si>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</si>
  <si>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</si>
  <si>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</si>
  <si>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</si>
  <si>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</si>
  <si>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</si>
  <si>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</si>
  <si>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</si>
  <si>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</si>
  <si>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</si>
  <si>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</si>
  <si>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</si>
  <si>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</si>
  <si>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</si>
  <si>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</si>
  <si>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</si>
  <si>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</si>
  <si>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</si>
  <si>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</si>
  <si>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</si>
  <si>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</si>
  <si>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</si>
  <si>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</si>
  <si>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</si>
  <si>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</si>
  <si>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</si>
  <si>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</si>
  <si>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</si>
  <si>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</si>
  <si>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</si>
  <si>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</si>
  <si>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</si>
  <si>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</si>
  <si>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</si>
  <si>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</si>
  <si>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</si>
  <si>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</si>
  <si>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</si>
  <si>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</si>
  <si>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</si>
  <si>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</si>
  <si>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</si>
  <si>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</si>
  <si>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</si>
  <si>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</si>
  <si>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</si>
  <si>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</si>
  <si>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</si>
  <si>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</si>
  <si>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</si>
  <si>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</si>
  <si>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</si>
  <si>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</si>
  <si>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</si>
  <si>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</si>
  <si>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</si>
  <si>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</si>
  <si>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</si>
  <si>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</si>
  <si>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</si>
  <si>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</si>
  <si>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</si>
  <si>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</si>
  <si>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</si>
  <si>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 3 (Ref. 3.2 &amp; 3.3)</t>
  </si>
  <si>
    <t>Sheet no.3 (Ref. 3.1 table only)</t>
  </si>
  <si>
    <t>BOLERO PICK UP VAN</t>
  </si>
  <si>
    <t>TRAVELLING EXPENSES</t>
  </si>
  <si>
    <t>ARCHITECHTS FEES</t>
  </si>
  <si>
    <t>CA FEES</t>
  </si>
  <si>
    <t>OTHER PROFESSIONAL CHARGES</t>
  </si>
  <si>
    <t>F &amp; V Processing Machinery</t>
  </si>
  <si>
    <t>ROTAVATOR</t>
  </si>
  <si>
    <t>PALTI</t>
  </si>
  <si>
    <t>CULTIVATOR</t>
  </si>
  <si>
    <t>CROP CUTTING MACHINE</t>
  </si>
  <si>
    <t>POWER TRILLER</t>
  </si>
  <si>
    <t>RIDGER</t>
  </si>
  <si>
    <t>POST HOLE DIGGER</t>
  </si>
  <si>
    <t>DE-STONNER MACHINE</t>
  </si>
  <si>
    <t>STEEL ELEVATORS</t>
  </si>
  <si>
    <t>POLISHER MACHINE</t>
  </si>
  <si>
    <t>RAGI ATTA PLANT MACHINERIES</t>
  </si>
  <si>
    <t>PAPAD MAKING MACHINE</t>
  </si>
  <si>
    <t>WEIGHING SCALE-500 KG</t>
  </si>
  <si>
    <t>WEIGHING SCALE-200 KG</t>
  </si>
  <si>
    <t>WEIGHING SCALE-30 KG</t>
  </si>
  <si>
    <t>Profit Before Depreciation, Interest and Tax</t>
  </si>
  <si>
    <t>RAGI</t>
  </si>
  <si>
    <t>CASHEW</t>
  </si>
  <si>
    <t>SWEET POTATO</t>
  </si>
  <si>
    <t>Tally Software</t>
  </si>
  <si>
    <t>Chairs, Cubboards, Tables</t>
  </si>
  <si>
    <t>Drinking Water Filter</t>
  </si>
  <si>
    <t>Office Equipments</t>
  </si>
  <si>
    <t>13.2 Facility 2 - Profit and loss of Grain Processing Unit - Ragi Mill</t>
  </si>
  <si>
    <t>GENERATOR</t>
  </si>
  <si>
    <t>Facility 2 - Grain Processing Unit - Ragi Mill</t>
  </si>
  <si>
    <t>IT Infrastructure</t>
  </si>
  <si>
    <t>TRACTOR (MAHINDRA ARJUN-555)</t>
  </si>
  <si>
    <t>BUSH CUTTER</t>
  </si>
  <si>
    <t>IT &amp; IT Infrastracture</t>
  </si>
  <si>
    <t>Transport Vehical  (Refer van and other)</t>
  </si>
  <si>
    <t>Masoor/ Moong</t>
  </si>
  <si>
    <t>Sweet Potato</t>
  </si>
  <si>
    <t>Quantity for sale (60%)</t>
  </si>
  <si>
    <t>Job Work (0%)</t>
  </si>
  <si>
    <t>Job Work (00%)</t>
  </si>
  <si>
    <t>Packaging Exp</t>
  </si>
  <si>
    <t>Operating profit</t>
  </si>
  <si>
    <t>7.1 Balance Sheet for the Project</t>
  </si>
  <si>
    <t>Misc. Expenses</t>
  </si>
  <si>
    <t xml:space="preserve">         Total Admin Expenses</t>
  </si>
  <si>
    <t>Section 1- Preliminary information of CBO</t>
  </si>
  <si>
    <t xml:space="preserve">1.1 General information </t>
  </si>
  <si>
    <t>Address</t>
  </si>
  <si>
    <t>Details of the contact person</t>
  </si>
  <si>
    <t>Whether organization is registered?</t>
  </si>
  <si>
    <t>If yes, under which act</t>
  </si>
  <si>
    <t>Year of registration and registration number</t>
  </si>
  <si>
    <t>PAN  number of the organization</t>
  </si>
  <si>
    <t>Udyog  Aadhar number / Udyam registration No. of the organization</t>
  </si>
  <si>
    <t>Authorized Capital of organization (Rs. In Lakhs)</t>
  </si>
  <si>
    <t>Name of the BoD</t>
  </si>
  <si>
    <t xml:space="preserve">Gender M/F </t>
  </si>
  <si>
    <t xml:space="preserve">Social category </t>
  </si>
  <si>
    <t>Land Holding (Ha)</t>
  </si>
  <si>
    <t>Designation</t>
  </si>
  <si>
    <t>Education</t>
  </si>
  <si>
    <t xml:space="preserve">PAN No. </t>
  </si>
  <si>
    <t>Aadhar No.</t>
  </si>
  <si>
    <t>Note: Kindly use short form for presenting social category i.e. SC, ST, NT, OBC and General of each BoD</t>
  </si>
  <si>
    <t>Name of the training</t>
  </si>
  <si>
    <t>Duration (days)</t>
  </si>
  <si>
    <t xml:space="preserve">Name of organizing agency </t>
  </si>
  <si>
    <t>Topics covered</t>
  </si>
  <si>
    <t>Name of members participated in training</t>
  </si>
  <si>
    <t>1.5 Details of shareholders / members of CBOs</t>
  </si>
  <si>
    <t>Total No. of shareholders</t>
  </si>
  <si>
    <t>Female</t>
  </si>
  <si>
    <t>Male</t>
  </si>
  <si>
    <t>Scheduled Castes</t>
  </si>
  <si>
    <t>Scheduled Tribes</t>
  </si>
  <si>
    <t>Marginal</t>
  </si>
  <si>
    <t>Small farmers</t>
  </si>
  <si>
    <t>Medium farmer</t>
  </si>
  <si>
    <t>Big farmers</t>
  </si>
  <si>
    <t>Tenants</t>
  </si>
  <si>
    <t>landless</t>
  </si>
  <si>
    <t xml:space="preserve">  Farmers </t>
  </si>
  <si>
    <t>(1-2 ha)</t>
  </si>
  <si>
    <t xml:space="preserve"> (2-5 ha.)</t>
  </si>
  <si>
    <t>(More than 5 ha.)</t>
  </si>
  <si>
    <t> (0-1 ha)</t>
  </si>
  <si>
    <t xml:space="preserve">1.6 Details of other participating CBOs if any (If there is more than one promoter agency  (CBO), </t>
  </si>
  <si>
    <t xml:space="preserve">       then provide details of other agencies in following table )</t>
  </si>
  <si>
    <t>Name of agency</t>
  </si>
  <si>
    <t>Name of contact person</t>
  </si>
  <si>
    <t>Contact no.</t>
  </si>
  <si>
    <t>Total number of members / shareholders</t>
  </si>
  <si>
    <t>1.7 Details of movable and immovable property owned by the organization</t>
  </si>
  <si>
    <t>SN</t>
  </si>
  <si>
    <t>Types of assets</t>
  </si>
  <si>
    <t>Present market value per unit (Rs.)</t>
  </si>
  <si>
    <t>Total market value (Rs.)</t>
  </si>
  <si>
    <t>Immoveable Assets</t>
  </si>
  <si>
    <t>Total (A)</t>
  </si>
  <si>
    <t>Movable asset</t>
  </si>
  <si>
    <t>Total (B)</t>
  </si>
  <si>
    <t xml:space="preserve">Gross total (A+B) </t>
  </si>
  <si>
    <t xml:space="preserve">Note:  provide details of assets owned by organisation such as. Land , building , agri. produce collection </t>
  </si>
  <si>
    <t xml:space="preserve">centre , cleaning and grading machinery , Processing related machineries, other available machinery </t>
  </si>
  <si>
    <t xml:space="preserve">and equipment if any, warehouse , cold storage, vehicle , furniture , IT related infrastructure such as </t>
  </si>
  <si>
    <t xml:space="preserve">computer, printer etc.  </t>
  </si>
  <si>
    <t xml:space="preserve">1.8 Details of licenses obtained by CBO (DML, Udyog Aadhar / Udyam registration , Shop act and </t>
  </si>
  <si>
    <t>Other  Licenses)</t>
  </si>
  <si>
    <t xml:space="preserve">Name of license </t>
  </si>
  <si>
    <t>Issuing  agency/department</t>
  </si>
  <si>
    <t xml:space="preserve">License no and date of issuing </t>
  </si>
  <si>
    <t>Validity  (duration)</t>
  </si>
  <si>
    <t>Sr.No.</t>
  </si>
  <si>
    <t xml:space="preserve">Name of business activity </t>
  </si>
  <si>
    <t>Number of participated  members</t>
  </si>
  <si>
    <t>Members of CBO</t>
  </si>
  <si>
    <t>Non-member</t>
  </si>
  <si>
    <t xml:space="preserve">Aggregation and bulk marketing of agri. / Horti commodities </t>
  </si>
  <si>
    <t>Primary processing on agricultural commodities (cleaning and grading)</t>
  </si>
  <si>
    <t xml:space="preserve">Bulk procurement and selling of agricultural inputs (Fertilizer, seeds etc.) </t>
  </si>
  <si>
    <t xml:space="preserve">Seed production </t>
  </si>
  <si>
    <t>E</t>
  </si>
  <si>
    <t>Others (e.g. processing, direct marketing, custom hiring center etc.)</t>
  </si>
  <si>
    <t>Details</t>
  </si>
  <si>
    <t>Annual turnover (Rs. Lakh)</t>
  </si>
  <si>
    <t xml:space="preserve">Note: -Annual turnover should be given as per the audit report. Definition of turnover is as follows 
</t>
  </si>
  <si>
    <t xml:space="preserve">“Turnover ” means the gross amount of revenue recognized in the profit and loss account from the </t>
  </si>
  <si>
    <t xml:space="preserve">sale, supply, or distribution of goods or on account of services rendered, or both, by a company during </t>
  </si>
  <si>
    <t>a financial year.)</t>
  </si>
  <si>
    <t>Section 2 – About selected Crops, marketable surplus and its value chain</t>
  </si>
  <si>
    <t>2.1 Details of major crops selected for sub-project and its marketing status (average of last three years)</t>
  </si>
  <si>
    <t>CBO members Area under particular crop            (Ha.)</t>
  </si>
  <si>
    <t>Average productivity (tons per Ha.)</t>
  </si>
  <si>
    <t>Total Production (tons)</t>
  </si>
  <si>
    <t>Marketable surplus (tons)</t>
  </si>
  <si>
    <t>Quantity of produce Aggregated  and sold by CBO (tons)</t>
  </si>
  <si>
    <t>Quantity of produce sold by member at individual level (tons)</t>
  </si>
  <si>
    <t>Buyer</t>
  </si>
  <si>
    <t>Agriculture Commodity (quantity in MT )</t>
  </si>
  <si>
    <t>Processor</t>
  </si>
  <si>
    <t>Exporter</t>
  </si>
  <si>
    <t xml:space="preserve">Direct marketing License  (DML) holder </t>
  </si>
  <si>
    <t>2.2   Existing value chain of key crops</t>
  </si>
  <si>
    <t xml:space="preserve">A ‘value chain’ in agriculture identifies the set of actors and activities that bring a basic agricultural product </t>
  </si>
  <si>
    <t xml:space="preserve">from production in the field to final consumption, where at each stage value is added to the product. </t>
  </si>
  <si>
    <t xml:space="preserve">2.2.1 Value chain of the selected crop (key chain) along with percentage of the marketable surplus is sold?   </t>
  </si>
  <si>
    <t>(Please refer annex for knowing how to write value chain.)</t>
  </si>
  <si>
    <t>2.2.2 Challenges in existing value chain of selected crops</t>
  </si>
  <si>
    <t>2.2.3 Potential remedies to address above issues in value chain</t>
  </si>
  <si>
    <t>2.3.1 If yes, please provide details</t>
  </si>
  <si>
    <t>Name of buyer/market</t>
  </si>
  <si>
    <t>Contact person and its No.</t>
  </si>
  <si>
    <t>E-mail Id</t>
  </si>
  <si>
    <t>Agri. / Horti. Produce</t>
  </si>
  <si>
    <t>No</t>
  </si>
  <si>
    <t>Annual Quantity of produce (MT)</t>
  </si>
  <si>
    <t>Name of commodity</t>
  </si>
  <si>
    <t>Quantity (MT)</t>
  </si>
  <si>
    <t xml:space="preserve">Other </t>
  </si>
  <si>
    <t xml:space="preserve">15. Key components of sub-project i.e. construction, machinery and other materials </t>
  </si>
  <si>
    <t>Details of proposed business/activities</t>
  </si>
  <si>
    <t>capacity</t>
  </si>
  <si>
    <t>Rate /Unit</t>
  </si>
  <si>
    <t>Total Unit</t>
  </si>
  <si>
    <t>Total amount (Rs.)</t>
  </si>
  <si>
    <t>A1</t>
  </si>
  <si>
    <t xml:space="preserve">Building and Construction </t>
  </si>
  <si>
    <t>A2</t>
  </si>
  <si>
    <t>Machinery and equipment</t>
  </si>
  <si>
    <t>A3</t>
  </si>
  <si>
    <t>other</t>
  </si>
  <si>
    <t>Benefits to CBO</t>
  </si>
  <si>
    <t>Benefits to buyer</t>
  </si>
  <si>
    <t>Benefits to members</t>
  </si>
  <si>
    <t>2022 to 2023</t>
  </si>
  <si>
    <t>2023 to 2024</t>
  </si>
  <si>
    <t>2024 to 2025</t>
  </si>
  <si>
    <t>2025 to 2026</t>
  </si>
  <si>
    <t>2026 to 2027</t>
  </si>
  <si>
    <t>Ragi (Finger Millet)</t>
  </si>
  <si>
    <t xml:space="preserve">Section 4 Sub Project Implementation Plan </t>
  </si>
  <si>
    <t>4.1 Implementation of key activities proposed under sub-project</t>
  </si>
  <si>
    <t>Particulars of activities</t>
  </si>
  <si>
    <t xml:space="preserve">Year 2 </t>
  </si>
  <si>
    <t>Q-1</t>
  </si>
  <si>
    <t>Q-2</t>
  </si>
  <si>
    <t>Q-3</t>
  </si>
  <si>
    <t>Q-4</t>
  </si>
  <si>
    <t xml:space="preserve">Construction of building </t>
  </si>
  <si>
    <t xml:space="preserve">Plant and machineries’ </t>
  </si>
  <si>
    <t>Other  ……specify</t>
  </si>
  <si>
    <t xml:space="preserve">Other  </t>
  </si>
  <si>
    <t xml:space="preserve">Section 5 Sub-project Budget and Financial Analysis </t>
  </si>
  <si>
    <t xml:space="preserve">5.1 Sub project budget and means of finance </t>
  </si>
  <si>
    <t xml:space="preserve">5.1.1 Budget </t>
  </si>
  <si>
    <t>Proposed component</t>
  </si>
  <si>
    <t>Unit rate</t>
  </si>
  <si>
    <t>Total unit</t>
  </si>
  <si>
    <t xml:space="preserve">Building and civil work </t>
  </si>
  <si>
    <t xml:space="preserve">5.1.2 Means of finance </t>
  </si>
  <si>
    <t>Component</t>
  </si>
  <si>
    <t>Contribution (%)</t>
  </si>
  <si>
    <t>SMART project support ( subsidy )</t>
  </si>
  <si>
    <t>CBOs own contribution</t>
  </si>
  <si>
    <t>Bank loan</t>
  </si>
  <si>
    <t xml:space="preserve">Total </t>
  </si>
  <si>
    <t xml:space="preserve">* If necessary, the applicant can approach to the bank for obtaining loan. (Borrowing loan from a </t>
  </si>
  <si>
    <t>bank is not mandatory under Smart Project)</t>
  </si>
  <si>
    <t>5.2  Financial Analysis</t>
  </si>
  <si>
    <t>5.2.1  Project Cost Summary:</t>
  </si>
  <si>
    <t>Amount</t>
  </si>
  <si>
    <t>*Smart Subsidy %</t>
  </si>
  <si>
    <t>Smart Subsidy Amount (Rs.)</t>
  </si>
  <si>
    <t>Building &amp; Civil Work</t>
  </si>
  <si>
    <t>Machineries &amp; Equipment</t>
  </si>
  <si>
    <t>Preliminary and Preoperative Expenses</t>
  </si>
  <si>
    <t xml:space="preserve">*The above subsidy percentage is indicative. It may change based on the decision of </t>
  </si>
  <si>
    <t>State Proposal Approval Committee of Smart Project.</t>
  </si>
  <si>
    <t>5.2.2  Depreciation Estimates</t>
  </si>
  <si>
    <t xml:space="preserve"> Component </t>
  </si>
  <si>
    <t xml:space="preserve"> A. </t>
  </si>
  <si>
    <t xml:space="preserve"> Land  </t>
  </si>
  <si>
    <t xml:space="preserve"> Opening </t>
  </si>
  <si>
    <t xml:space="preserve"> Closing </t>
  </si>
  <si>
    <t xml:space="preserve"> B. </t>
  </si>
  <si>
    <t xml:space="preserve"> C. </t>
  </si>
  <si>
    <t xml:space="preserve"> Machineries &amp; Equipment’s </t>
  </si>
  <si>
    <t xml:space="preserve"> D. </t>
  </si>
  <si>
    <t xml:space="preserve"> Furniture &amp; Fixtures </t>
  </si>
  <si>
    <t xml:space="preserve"> E. </t>
  </si>
  <si>
    <t xml:space="preserve"> IT Infrastructure </t>
  </si>
  <si>
    <t xml:space="preserve"> Opening Balance </t>
  </si>
  <si>
    <t xml:space="preserve"> Total Depreciation </t>
  </si>
  <si>
    <t xml:space="preserve"> Balance Asset </t>
  </si>
  <si>
    <t>*For ease of calculation it is suggested to use SLM (Straight Line Method)</t>
  </si>
  <si>
    <t>5.2.3  Amortization</t>
  </si>
  <si>
    <t xml:space="preserve">Opening Amount </t>
  </si>
  <si>
    <t xml:space="preserve">Rate of Amortization Per Annum </t>
  </si>
  <si>
    <t>Amortization Amount</t>
  </si>
  <si>
    <t>Closing Amount (Opening Amount – Amortization Amount)</t>
  </si>
  <si>
    <t>5.2.4 Bank Loan Projection</t>
  </si>
  <si>
    <t>Loan Amount   :</t>
  </si>
  <si>
    <t>Rate of Interest Per Annum :</t>
  </si>
  <si>
    <t>Loan Tenure (in Years)  :</t>
  </si>
  <si>
    <t>Moratorium Period (in Years) :</t>
  </si>
  <si>
    <t>Principal Outstanding</t>
  </si>
  <si>
    <t xml:space="preserve">Principal </t>
  </si>
  <si>
    <t>5.2.5 Revenue and Expenses Assumption</t>
  </si>
  <si>
    <t>Proposed Facility/ Activity Name</t>
  </si>
  <si>
    <t>Income @ 100% Capacity</t>
  </si>
  <si>
    <t>Variable Cost @ 100 % Capacity</t>
  </si>
  <si>
    <t>Fixed Cost @ 100 % Capacity</t>
  </si>
  <si>
    <t xml:space="preserve">Note: kindly refer indicative example presented on next page. Kindly use one row for one business activity. </t>
  </si>
  <si>
    <t>5.2.6 Projected Profit &amp; Loss Statement</t>
  </si>
  <si>
    <t>Capacity Utilization</t>
  </si>
  <si>
    <t>Income</t>
  </si>
  <si>
    <t>TOTAL A :-</t>
  </si>
  <si>
    <t>TOTAL B :-</t>
  </si>
  <si>
    <t>TOTAL C :-</t>
  </si>
  <si>
    <t xml:space="preserve">Earnings Before Interest, Depreciation and Tax </t>
  </si>
  <si>
    <t>(EBIDT)</t>
  </si>
  <si>
    <t>Interest</t>
  </si>
  <si>
    <t>Profit Before Tax (PBT)</t>
  </si>
  <si>
    <t>Income Tax</t>
  </si>
  <si>
    <t>Profit After Tax (PAT)</t>
  </si>
  <si>
    <t>Cumulative Profits</t>
  </si>
  <si>
    <t>5.2.7 Cash Flow Statement Projection</t>
  </si>
  <si>
    <t>Cash Inflow (Rs.)</t>
  </si>
  <si>
    <t>Working Capital loan</t>
  </si>
  <si>
    <t>Smart Subsidy</t>
  </si>
  <si>
    <t>Term Loan</t>
  </si>
  <si>
    <t>Fixed Cost (Excl. Of Interest)</t>
  </si>
  <si>
    <t>Working capital loan - interest</t>
  </si>
  <si>
    <t>Working capital loan - instalment</t>
  </si>
  <si>
    <t xml:space="preserve">5.2.8 Balance Sheet Statement Projection </t>
  </si>
  <si>
    <t>Less: Depreciation</t>
  </si>
  <si>
    <t>Pre-incubation Cost</t>
  </si>
  <si>
    <t>Short Term Debt</t>
  </si>
  <si>
    <t>Total Current Liabilities</t>
  </si>
  <si>
    <t xml:space="preserve">Long Term Debt </t>
  </si>
  <si>
    <t>Smart Grant-in-aid</t>
  </si>
  <si>
    <t>Appropriation – Dividend</t>
  </si>
  <si>
    <t>5.2.9 Financial Indicators</t>
  </si>
  <si>
    <t>Section 6 : Assumptions</t>
  </si>
  <si>
    <t xml:space="preserve">6.1 Key Assumptions </t>
  </si>
  <si>
    <t xml:space="preserve">(Applicant should provide basic information for each business activity / facility covered in sub-project. </t>
  </si>
  <si>
    <t xml:space="preserve">the information will be used for finalizing assumptions and undertaking financial analysis.  ) </t>
  </si>
  <si>
    <t xml:space="preserve">The following information should be filled separately for each business activity / facility </t>
  </si>
  <si>
    <t xml:space="preserve">covered under the sub-project. E.g. If an CBO has decided to set up ‘dal mill’ and ‘aggregation  </t>
  </si>
  <si>
    <t xml:space="preserve">cleaning, grading and marketing of agro produce’, then details of both the activities / facilities </t>
  </si>
  <si>
    <t>should be provided separately in following table)</t>
  </si>
  <si>
    <t>Business activity/Facility</t>
  </si>
  <si>
    <t xml:space="preserve">Area Required for establishing facility </t>
  </si>
  <si>
    <t>3.</t>
  </si>
  <si>
    <t>Capacity of Facility</t>
  </si>
  <si>
    <t xml:space="preserve">No. of hours, the facility will be operational in a  day </t>
  </si>
  <si>
    <t>Capital investment for machinery and equipment’s (as per quotation)</t>
  </si>
  <si>
    <t>Investment on civil and construction compoent (As per estimates):</t>
  </si>
  <si>
    <t>I</t>
  </si>
  <si>
    <t>How many days, the facility will be operational in a year</t>
  </si>
  <si>
    <t>Finished product</t>
  </si>
  <si>
    <t>Whole price /Rs.-------per  unit</t>
  </si>
  <si>
    <t xml:space="preserve">Retail price /-Rs……per  Unit </t>
  </si>
  <si>
    <t>commodity</t>
  </si>
  <si>
    <t>Procurement Price     Rs… Per Quintal:</t>
  </si>
  <si>
    <t>Designation:</t>
  </si>
  <si>
    <t>No. of Staff:</t>
  </si>
  <si>
    <t>Salary Rs….Per Month:</t>
  </si>
  <si>
    <t xml:space="preserve">5. Expenditure on remuneration of labor  </t>
  </si>
  <si>
    <t>Type of workers</t>
  </si>
  <si>
    <t xml:space="preserve">Wages   Rs….  / per day </t>
  </si>
  <si>
    <t xml:space="preserve">Remark </t>
  </si>
  <si>
    <t>Skilled</t>
  </si>
  <si>
    <t xml:space="preserve">Semi skill </t>
  </si>
  <si>
    <t xml:space="preserve">Un skilled </t>
  </si>
  <si>
    <t xml:space="preserve">6. Expenditure on rent/lease of plot / sub-project site </t>
  </si>
  <si>
    <t xml:space="preserve">Land lease Rent Rs-----per month </t>
  </si>
  <si>
    <t xml:space="preserve">land rent </t>
  </si>
  <si>
    <t xml:space="preserve">7. Expenditure on electricity charges required for facility </t>
  </si>
  <si>
    <t>Cumulative HP for all Machineries and equipment’s</t>
  </si>
  <si>
    <t>No. of Units Consumption Per Hour:</t>
  </si>
  <si>
    <t>Per Unit Cost  Rs…..per unit</t>
  </si>
  <si>
    <t>…..PER HR.</t>
  </si>
  <si>
    <t>8. Maintenance cost  facilities</t>
  </si>
  <si>
    <t>Detail</t>
  </si>
  <si>
    <t>Maintenance of machinery, building, equipment etc,</t>
  </si>
  <si>
    <t xml:space="preserve">9. Other consumables required for production </t>
  </si>
  <si>
    <t>Name of Consumables</t>
  </si>
  <si>
    <t>Cost Per Unit (Rs)</t>
  </si>
  <si>
    <t>E.g. edible oil, salt, sugar etc.</t>
  </si>
  <si>
    <t>Type of Material</t>
  </si>
  <si>
    <t>Size of Packaging material</t>
  </si>
  <si>
    <t>Cost Per Unit (Rs.)</t>
  </si>
  <si>
    <t xml:space="preserve">11. Expenditure on storage/warehouse for product </t>
  </si>
  <si>
    <t>Crop Name:</t>
  </si>
  <si>
    <t>Storage Duration (month)</t>
  </si>
  <si>
    <t>Storage Cost Per Quintal Per Month:</t>
  </si>
  <si>
    <t>remark</t>
  </si>
  <si>
    <t>12. Other Expenditure</t>
  </si>
  <si>
    <t>Rs/per month</t>
  </si>
  <si>
    <t>Section 9 : Procurement Plan</t>
  </si>
  <si>
    <t>CBO level Procurement plan with Method &amp; Time Schedule for Works, Goods &amp; Consultancy Services</t>
  </si>
  <si>
    <t>Ref No.</t>
  </si>
  <si>
    <t>Contract (Description)</t>
  </si>
  <si>
    <t>Stage : Planned / Actual / Revised</t>
  </si>
  <si>
    <t>Estimated Cost (Rs. In. Lakh)</t>
  </si>
  <si>
    <t>Procurement Method</t>
  </si>
  <si>
    <t>Review by PCMU/ PIUs  (Prior/ Post)</t>
  </si>
  <si>
    <t>Expected Bid-Opening Date)</t>
  </si>
  <si>
    <t xml:space="preserve">Actual Contract Date                     </t>
  </si>
  <si>
    <t>Actual Contract Amount (Rs.Lakh)</t>
  </si>
  <si>
    <t>Comments</t>
  </si>
  <si>
    <t xml:space="preserve"> ( format )</t>
  </si>
  <si>
    <t>No of Contracts</t>
  </si>
  <si>
    <t xml:space="preserve">Total Cost </t>
  </si>
  <si>
    <t>(i.e.1-Dec-14)</t>
  </si>
  <si>
    <t>Works</t>
  </si>
  <si>
    <t>Goods &amp; Equipment</t>
  </si>
  <si>
    <t>Consultancy Services</t>
  </si>
  <si>
    <t>Fixed capital loan - interest</t>
  </si>
  <si>
    <t>Fixed capital loan - instalment</t>
  </si>
  <si>
    <t>Working Capital Margin</t>
  </si>
  <si>
    <t xml:space="preserve">Interest on Moratourim </t>
  </si>
  <si>
    <t>300 mt</t>
  </si>
  <si>
    <t>Business/Activity No.  1 Warehouse</t>
  </si>
  <si>
    <t>Other</t>
  </si>
  <si>
    <t xml:space="preserve">       required for proposed business / activities</t>
  </si>
  <si>
    <t>C1</t>
  </si>
  <si>
    <t>Business/Activity No.  3 Custom Hiring</t>
  </si>
  <si>
    <t>C2</t>
  </si>
  <si>
    <t>Total (C)</t>
  </si>
  <si>
    <t>Business/Activity No.  2 Processing Unit- Ragi Mill</t>
  </si>
  <si>
    <t>Desktop Computer</t>
  </si>
  <si>
    <t>Laser Printer</t>
  </si>
  <si>
    <t>CCTV with cameras, DVR, HDD etc.</t>
  </si>
  <si>
    <t>Total (A+B+C)</t>
  </si>
  <si>
    <t xml:space="preserve">16. Specify the benefits of working together to CBO, its members and buyer </t>
  </si>
  <si>
    <t>Employment Generation, Reasonable price to farmers, increase in leaving standard of farmers, employees and indirect workers etc.</t>
  </si>
  <si>
    <t>Quality product under one roof.</t>
  </si>
  <si>
    <t>Profit will be distributed to members as dividend. Employment generation.</t>
  </si>
  <si>
    <t>Year 3 (Quarter)</t>
  </si>
  <si>
    <t>A-1 Warehouse</t>
  </si>
  <si>
    <t>A-2 Ragi Processing Unit</t>
  </si>
  <si>
    <t>A3- Custom Hiring</t>
  </si>
  <si>
    <t>Machineries and Equipment, Vehicles</t>
  </si>
  <si>
    <t>Transport Vehicle</t>
  </si>
  <si>
    <t>VEHICLES</t>
  </si>
  <si>
    <t>Warehousing</t>
  </si>
  <si>
    <t>2000 (in Sq. Ft):</t>
  </si>
  <si>
    <t xml:space="preserve">24/hr per day </t>
  </si>
  <si>
    <t>10 hr per day</t>
  </si>
  <si>
    <t>NIL Rs.(in lakh)</t>
  </si>
  <si>
    <t>Cumulative Profit</t>
  </si>
  <si>
    <t>Annual days 240</t>
  </si>
  <si>
    <t>Raw Cashew</t>
  </si>
  <si>
    <t>Ragi</t>
  </si>
  <si>
    <t>1200 mt</t>
  </si>
  <si>
    <t>Rs. 500/mt/m</t>
  </si>
  <si>
    <t>NA</t>
  </si>
  <si>
    <t>WAREHOUSE MANAGER</t>
  </si>
  <si>
    <t>WATCHMEN</t>
  </si>
  <si>
    <t>First Year</t>
  </si>
  <si>
    <t>NIL</t>
  </si>
  <si>
    <t>8 months</t>
  </si>
  <si>
    <t>Single Phase or Normal Connection</t>
  </si>
  <si>
    <t>Normal Electricity</t>
  </si>
  <si>
    <t>N.A.</t>
  </si>
  <si>
    <t>Depreciation is given in dep. Chart</t>
  </si>
  <si>
    <t>Ragi Processing</t>
  </si>
  <si>
    <t>4000 (in Sq. Ft):</t>
  </si>
  <si>
    <t xml:space="preserve">12/hr per day </t>
  </si>
  <si>
    <t>8 hr per day</t>
  </si>
  <si>
    <t>Unit/quintel</t>
  </si>
  <si>
    <t>Unpolished Ragi</t>
  </si>
  <si>
    <t>quintel</t>
  </si>
  <si>
    <t>Finished/Polished Ragi</t>
  </si>
  <si>
    <t>50 Kg</t>
  </si>
  <si>
    <t>Lease rent is given in administrative expenses.</t>
  </si>
  <si>
    <t>Salary of Management staff is given in administrative expenses.</t>
  </si>
  <si>
    <t>Loading/Unloading</t>
  </si>
  <si>
    <t>Capital investment for machinery and equipment’s (as per quotation) in Lakh</t>
  </si>
  <si>
    <t>Investment on civil and construction compoent (As per estimates): in lakh</t>
  </si>
  <si>
    <t>Unit/Hr.</t>
  </si>
  <si>
    <t xml:space="preserve">Note:- Trolly, Rotavator, Palti, cultivator and Post Hole Digger will be provided with Tractor. So, no separate </t>
  </si>
  <si>
    <t>amount is charged.</t>
  </si>
  <si>
    <t>Land rent</t>
  </si>
  <si>
    <t>Note:- Both the construciton will be done departmentally i.e. own, so bid will not be invited.</t>
  </si>
  <si>
    <t>OWN</t>
  </si>
  <si>
    <t>Note:- Above Machinery and Equipment will be purchased by comparing quotations i.e. price, quality and service, so bid will not be invited.</t>
  </si>
  <si>
    <t>Professional services like Chartered Accountant, Company Secretary and Architecht is required. These professionals are selected by their service</t>
  </si>
  <si>
    <t>specification i.e. timely compliance of ROC, GST department, Income Tax Department etc.</t>
  </si>
  <si>
    <t>CHANDGAD FARM FRESH FARMERS PRODUCER COMPANY LIMITED</t>
  </si>
  <si>
    <t>Satavane, Tal. Chandgad, Dist. Kolhapur</t>
  </si>
  <si>
    <t>1. Companies Act, 2013.</t>
  </si>
  <si>
    <t>2. MSME ACT</t>
  </si>
  <si>
    <t>1) ROC Registration year NOVEMBER 2020.</t>
  </si>
  <si>
    <t xml:space="preserve">     Registration number U01100PN2020PTC196011</t>
  </si>
  <si>
    <t>2) Udyam Registration:- UDYAM-MH-15-0053516</t>
  </si>
  <si>
    <t>AAJCC1164H</t>
  </si>
  <si>
    <t xml:space="preserve"> UDYAM-MH-15-0053516</t>
  </si>
  <si>
    <t>Mohan Santu Parab</t>
  </si>
  <si>
    <t>M</t>
  </si>
  <si>
    <t>Shrikant Nagoji Mane</t>
  </si>
  <si>
    <t>Janaba Gangaram Parase</t>
  </si>
  <si>
    <t>Shivaji Balu Bhadgaonkar</t>
  </si>
  <si>
    <t>Sandip Dattu Mane</t>
  </si>
  <si>
    <t>Prkash Bhiku Vandre</t>
  </si>
  <si>
    <t>Vasundhara Vijaykumar Kamble</t>
  </si>
  <si>
    <t>F</t>
  </si>
  <si>
    <t>Mahadev Mashnu Gawade</t>
  </si>
  <si>
    <t>Sattu Mahadev Mane</t>
  </si>
  <si>
    <t>Balu Mahadev Gurav</t>
  </si>
  <si>
    <t>SC</t>
  </si>
  <si>
    <t>OBC</t>
  </si>
  <si>
    <t>Director</t>
  </si>
  <si>
    <t>General</t>
  </si>
  <si>
    <t>SSLC</t>
  </si>
  <si>
    <t>BGIPG3196G</t>
  </si>
  <si>
    <t>HSC</t>
  </si>
  <si>
    <t>APAPG8312G</t>
  </si>
  <si>
    <t>3174-9607-0240</t>
  </si>
  <si>
    <t>HNKPK9414E</t>
  </si>
  <si>
    <t>AQPRV2783Q</t>
  </si>
  <si>
    <t>BYYPM1082R</t>
  </si>
  <si>
    <t>Graduate</t>
  </si>
  <si>
    <t>CUBPM3494B</t>
  </si>
  <si>
    <t xml:space="preserve">4TH </t>
  </si>
  <si>
    <t>7TH</t>
  </si>
  <si>
    <t>AKMPP6332Q</t>
  </si>
  <si>
    <t>Post Graduate</t>
  </si>
  <si>
    <t>BXEPM5293H</t>
  </si>
  <si>
    <t>CATPP4589C</t>
  </si>
  <si>
    <t>DYZPB8307K</t>
  </si>
  <si>
    <t>6672-2105-6452</t>
  </si>
  <si>
    <t>UDYAM REGISTRATION</t>
  </si>
  <si>
    <t>UDYAM-MH-15-0053516</t>
  </si>
  <si>
    <t>MSME</t>
  </si>
  <si>
    <t>Other Consumer</t>
  </si>
  <si>
    <t>CURRENTLY THERE IS NO BUSINESS ACTIVITES FOR RAGI PROCESSING, SO THERE IS NO EXISTING VALUE CHAIN.</t>
  </si>
  <si>
    <t>NOT APPLICABLE</t>
  </si>
  <si>
    <t>6243-3955-3024</t>
  </si>
  <si>
    <t xml:space="preserve">Aceworx Synergistic </t>
  </si>
  <si>
    <t>Agribusiness Networks Pvt Ltd</t>
  </si>
  <si>
    <t>L29-L35, Connaught Place,</t>
  </si>
  <si>
    <t>New Delhi</t>
  </si>
  <si>
    <t>Vinod Raut</t>
  </si>
  <si>
    <t xml:space="preserve">Agri </t>
  </si>
  <si>
    <t>Ashutosh Foods</t>
  </si>
  <si>
    <t xml:space="preserve">Plot No. B-25, MIDC Halkarni, </t>
  </si>
  <si>
    <t>Tal. Chandgad, Dist. Kolhapur</t>
  </si>
  <si>
    <t>M.S. Parab</t>
  </si>
  <si>
    <t>triveni@aceworxasia.com</t>
  </si>
  <si>
    <t>anuragmp77@gmail.com</t>
  </si>
  <si>
    <t>5088-1610-1759</t>
  </si>
  <si>
    <t>5813-3454-9517</t>
  </si>
  <si>
    <t>2845-9268-0162</t>
  </si>
  <si>
    <t>3630-1591-7302</t>
  </si>
  <si>
    <t>7201-9435-1601</t>
  </si>
  <si>
    <t>9553-6304-2899</t>
  </si>
  <si>
    <t>9797-2407-2022</t>
  </si>
  <si>
    <t>1.00.00</t>
  </si>
  <si>
    <t>2.00.00</t>
  </si>
  <si>
    <t>0.80.00</t>
  </si>
  <si>
    <t>1.50.00</t>
  </si>
  <si>
    <t>1.25.00</t>
  </si>
  <si>
    <t>Div. Office, Gadhinglaj</t>
  </si>
  <si>
    <t>Mandal Office, Chandgad</t>
  </si>
  <si>
    <t>Project Finalisation</t>
  </si>
  <si>
    <t>Technical Aspects in preparation of Project</t>
  </si>
  <si>
    <t>M. S. Parab &amp; 6 other Directors</t>
  </si>
  <si>
    <t>M. S. Parab, Sandip Mane</t>
  </si>
  <si>
    <t>Agri Office, Pune</t>
  </si>
  <si>
    <t>Vijaykumar Kamble</t>
  </si>
  <si>
    <t>SMART SCHEME &amp; FPO</t>
  </si>
  <si>
    <t>No Limit</t>
  </si>
  <si>
    <t>Year- 2020 to 2021</t>
  </si>
  <si>
    <t>Year- 2019 to 2020</t>
  </si>
  <si>
    <t>Year- 2018 to 2019</t>
  </si>
  <si>
    <t>Ragi purchase and Sales</t>
  </si>
  <si>
    <t xml:space="preserve">         participation (year 2020 to 2021) </t>
  </si>
  <si>
    <t>TROLLY (2 Tyres)</t>
  </si>
  <si>
    <t>TROLLY (4 Tyres)</t>
  </si>
  <si>
    <t>AGI THRESHER</t>
  </si>
  <si>
    <t>GRADING COOLING VIBRO MACHINE</t>
  </si>
  <si>
    <t>RAGI TINNER MACHINE</t>
  </si>
  <si>
    <t>CYCLONE SYSTEM</t>
  </si>
  <si>
    <t>Dividend appropriation (25% of Net Profit)</t>
  </si>
  <si>
    <t>Dividend (25% of Net Profit after Tax)</t>
  </si>
  <si>
    <t>FURNITURE &amp; FIXTURES</t>
  </si>
  <si>
    <t>IT &amp; IT INFRASTRUCTURE</t>
  </si>
  <si>
    <t>Land, Wareshouse and Processing Unit</t>
  </si>
  <si>
    <t>Warehouse and Processing Unit</t>
  </si>
  <si>
    <t>Warehouse &amp; Processing Unit</t>
  </si>
  <si>
    <t>Processing Unit Shed</t>
  </si>
  <si>
    <t xml:space="preserve">Unit </t>
  </si>
  <si>
    <t>1st Year</t>
  </si>
  <si>
    <t>Yearly Sales</t>
  </si>
  <si>
    <t>Exp/Quintal</t>
  </si>
  <si>
    <t xml:space="preserve">Sales in Quintals </t>
  </si>
  <si>
    <t>Ragi Processing Mill</t>
  </si>
  <si>
    <t>BUT TRADING OF RAGI IS GOING ON, CHART FOR THE SAME IS ATTACHED HEREWITH.</t>
  </si>
  <si>
    <t>Whole price /Rs.-------per quintel</t>
  </si>
  <si>
    <t>Storage Cost Rs. Per Quintal Per Month:</t>
  </si>
  <si>
    <t>Exp/Kg.</t>
  </si>
  <si>
    <t>Calculation of Expenses per Quentel and per Kg.</t>
  </si>
  <si>
    <t>tonne/hour</t>
  </si>
  <si>
    <t>Note:- In the First year capacity will be utilised for 80%. From Next year onwards capacity will be utilised at</t>
  </si>
  <si>
    <t>90%, 100%, 100%, 100%, 100% and 100% level.</t>
  </si>
  <si>
    <t xml:space="preserve">Capacity utilisation </t>
  </si>
  <si>
    <t>1 st year</t>
  </si>
  <si>
    <t>2nd year</t>
  </si>
  <si>
    <t>3rd year</t>
  </si>
  <si>
    <t>Ragi Trading</t>
  </si>
  <si>
    <t>1000 (in Sq. Ft):</t>
  </si>
  <si>
    <t>12/hr per day</t>
  </si>
  <si>
    <t>Size of Packaging material Kg</t>
  </si>
  <si>
    <t>Gunny Bags/50 Kg</t>
  </si>
  <si>
    <t>Total unit (quintel)</t>
  </si>
  <si>
    <t>.</t>
  </si>
  <si>
    <t xml:space="preserve">             first year and second year.</t>
  </si>
  <si>
    <t xml:space="preserve">Note:- From third year onwards Facility 2 will be run on capacity of 100% or more. Excess quantity in Facility 2 will be used for trading purpose In the </t>
  </si>
  <si>
    <t>PACKING MACHINE FOR POWDER</t>
  </si>
  <si>
    <t>ELECTRIC TRANSFORMER</t>
  </si>
  <si>
    <t>PACKING MACHINE FOR GRAINS</t>
  </si>
  <si>
    <t>PACKING MACHINE FOR GRAIN Double Head- 500gm to 5 kg</t>
  </si>
  <si>
    <t>TRACTOR - 50 HP</t>
  </si>
  <si>
    <t>ROTAVATOR - 5 FEET</t>
  </si>
  <si>
    <t>THRESHER</t>
  </si>
  <si>
    <t>STRAW REAPER</t>
  </si>
  <si>
    <t>POWER TRILLER -  10 HP</t>
  </si>
  <si>
    <t>PADDY REAPER - 5 PR 5.5 HP</t>
  </si>
  <si>
    <t>PLOW</t>
  </si>
  <si>
    <t>STEEL ELEVATORS- 20 Ft</t>
  </si>
  <si>
    <t>DE-STONNER MACHINE 2 Ton</t>
  </si>
  <si>
    <t>Hammer Machine</t>
  </si>
  <si>
    <t>GST</t>
  </si>
  <si>
    <t>PACKING MACHINE FOR POWDER - 100 to 1000 gms</t>
  </si>
  <si>
    <t>GENERATOR - 40 KVA - 63 BHP</t>
  </si>
  <si>
    <t>TRANSFORMER 63 KVA</t>
  </si>
  <si>
    <t>ELECTRICAL LINE FITINGS</t>
  </si>
  <si>
    <t>CRATES - 40 KG/200 NOS</t>
  </si>
  <si>
    <t>Fixed</t>
  </si>
  <si>
    <t>Sq Mtrs</t>
  </si>
  <si>
    <t>WARESHOUSE - 350 MT</t>
  </si>
  <si>
    <t>PROCESSING UNIT SHED- 354Sq Mtrs</t>
  </si>
  <si>
    <t>Office and Other Spaces - 18 Sq Mtrs</t>
  </si>
  <si>
    <t xml:space="preserve">B2 </t>
  </si>
  <si>
    <t>1.        Basic Information of the business/facility:- Custom Hiring</t>
  </si>
  <si>
    <t xml:space="preserve">2.        Details of revenue generated through above facility </t>
  </si>
  <si>
    <t xml:space="preserve">3.        Expenditure on raw material </t>
  </si>
  <si>
    <t xml:space="preserve">4.        Expenditure on salary of management staff </t>
  </si>
  <si>
    <t xml:space="preserve">10.        Expenditure on packaging material </t>
  </si>
  <si>
    <t>1.        Basic Information of the business/facility:- Warehousing</t>
  </si>
  <si>
    <t>1.        Basic Information of the business/facility:- Ragi Processing</t>
  </si>
  <si>
    <t>1.        Basic Information of the business/facility:- Cleaning &amp; Grading (Trading)</t>
  </si>
  <si>
    <t>A.     Return on Capital Employed (RoCE) or Return on Equity (RoE)</t>
  </si>
  <si>
    <t>B.      Net Present Value (NPV)</t>
  </si>
  <si>
    <t>C.      Internal Rate of Return (IRR)</t>
  </si>
  <si>
    <t>D.     Pay Back Period (Project/ Equity)</t>
  </si>
  <si>
    <t>E.      Break Even Point (BEP)</t>
  </si>
  <si>
    <t>F.       Debt Service Coverage Ratio (DSCR)</t>
  </si>
  <si>
    <t xml:space="preserve">G.     Sensitivity Analysis </t>
  </si>
  <si>
    <t>(Preliminary and preoperative )</t>
  </si>
  <si>
    <t xml:space="preserve">7.        Agri. / Horti. Produce aggregation plan of CBO for next five years </t>
  </si>
  <si>
    <t>Organized Retail Chain</t>
  </si>
  <si>
    <t xml:space="preserve">Total units </t>
  </si>
  <si>
    <t xml:space="preserve">1.09   Details of ongoing business activity of CBO along with snapshot on farmers </t>
  </si>
  <si>
    <t>1.10  Annual turnover of CBO (last  three years)</t>
  </si>
  <si>
    <t>1.3  Details of Board Members </t>
  </si>
  <si>
    <t>Contact number (mobile number)</t>
  </si>
  <si>
    <t xml:space="preserve">1.4  Details of trainings in which BoD members were participated as trainee </t>
  </si>
  <si>
    <t xml:space="preserve">Name of the Community Based Organization (CBO)  </t>
  </si>
  <si>
    <t>Name:-Mohan Santu Parab</t>
  </si>
  <si>
    <t>Designation in CBO:-Director</t>
  </si>
  <si>
    <t>Mobile Number: -8971758045</t>
  </si>
  <si>
    <t>Email: -mparab37@gmail.com</t>
  </si>
  <si>
    <t>1.2  About registration of organization</t>
  </si>
  <si>
    <t>2.  Cluster Level Federation (CLF)</t>
  </si>
  <si>
    <t>3.  Community Management Resource Center (CMRC)</t>
  </si>
  <si>
    <t>4.  Other …………..</t>
  </si>
  <si>
    <t>Maintenance</t>
  </si>
  <si>
    <t>Days</t>
  </si>
  <si>
    <t>Quantity for sale</t>
  </si>
  <si>
    <t xml:space="preserve">Job Work </t>
  </si>
  <si>
    <t>Insurance</t>
  </si>
  <si>
    <t>Annual</t>
  </si>
  <si>
    <t>Facility 1 - Cleaning &amp; Grading</t>
  </si>
  <si>
    <t>Facility 2 - Processing Unit- Ragi Mill</t>
  </si>
  <si>
    <t xml:space="preserve">Facility 4 - Custom Hiring </t>
  </si>
  <si>
    <t>Facility 5 - Agri Input Centre</t>
  </si>
  <si>
    <t>Kgs</t>
  </si>
  <si>
    <t>Other Ingredients - 5%</t>
  </si>
  <si>
    <t>Output in Kgs</t>
  </si>
  <si>
    <t>Consumables</t>
  </si>
  <si>
    <t>Helper</t>
  </si>
  <si>
    <t>Legal Charges</t>
  </si>
  <si>
    <t>Changes in Current Liabilities</t>
  </si>
  <si>
    <t>Changes in Current Assets</t>
  </si>
  <si>
    <t>Sales and Marketing</t>
  </si>
  <si>
    <t>Ragi Flour</t>
  </si>
  <si>
    <t>Papad Process - 20%</t>
  </si>
  <si>
    <t>Ragi Papad</t>
  </si>
  <si>
    <t>Ragi - 70%</t>
  </si>
  <si>
    <t>Ragi Flour - 30%</t>
  </si>
  <si>
    <t>Ragi Flour - 0%</t>
  </si>
  <si>
    <t>Total Output - 105% after Drying</t>
  </si>
  <si>
    <t>Ragi Processing Unit - 1 TPH</t>
  </si>
  <si>
    <t>PAPAD MAKING MACHINE - 200KgPH</t>
  </si>
  <si>
    <r>
      <t> </t>
    </r>
    <r>
      <rPr>
        <i/>
        <sz val="11"/>
        <color rgb="FF000000"/>
        <rFont val="Calibri"/>
        <family val="2"/>
        <scheme val="minor"/>
      </rPr>
      <t>Rate of Depreciation Per Annum</t>
    </r>
  </si>
  <si>
    <r>
      <t xml:space="preserve">2.1.1        </t>
    </r>
    <r>
      <rPr>
        <b/>
        <sz val="11"/>
        <color theme="1"/>
        <rFont val="Calibri"/>
        <family val="2"/>
        <scheme val="minor"/>
      </rPr>
      <t>Details of agro produce aggregated and sold by CBO (Average of last three years)</t>
    </r>
  </si>
  <si>
    <r>
      <t>2.3 Whether the CBO has conducted market survey for mapping potential buyers / market?              Yes /</t>
    </r>
    <r>
      <rPr>
        <b/>
        <strike/>
        <sz val="11"/>
        <color theme="1"/>
        <rFont val="Calibri"/>
        <family val="2"/>
        <scheme val="minor"/>
      </rPr>
      <t xml:space="preserve">No </t>
    </r>
  </si>
  <si>
    <r>
      <t xml:space="preserve">2.3.2          </t>
    </r>
    <r>
      <rPr>
        <b/>
        <sz val="11"/>
        <color theme="1"/>
        <rFont val="Calibri"/>
        <family val="2"/>
        <scheme val="minor"/>
      </rPr>
      <t>Details of potential buyers/markets identified through survey</t>
    </r>
  </si>
  <si>
    <r>
      <t>Organization type  </t>
    </r>
    <r>
      <rPr>
        <sz val="11"/>
        <color theme="1"/>
        <rFont val="Calibri"/>
        <family val="2"/>
        <scheme val="minor"/>
      </rPr>
      <t>(please mark (√) on appropriate option)</t>
    </r>
  </si>
  <si>
    <r>
      <t xml:space="preserve">1. Farmer Production Company (FPC) </t>
    </r>
    <r>
      <rPr>
        <b/>
        <sz val="11"/>
        <color rgb="FF000000"/>
        <rFont val="Calibri"/>
        <family val="2"/>
        <scheme val="minor"/>
      </rPr>
      <t>√</t>
    </r>
  </si>
  <si>
    <r>
      <t xml:space="preserve">Yes / </t>
    </r>
    <r>
      <rPr>
        <strike/>
        <sz val="11"/>
        <color rgb="FF000000"/>
        <rFont val="Calibri"/>
        <family val="2"/>
        <scheme val="minor"/>
      </rPr>
      <t>No</t>
    </r>
  </si>
  <si>
    <r>
      <t xml:space="preserve">Paid up capital of organization           </t>
    </r>
    <r>
      <rPr>
        <sz val="11"/>
        <color theme="1"/>
        <rFont val="Calibri"/>
        <family val="2"/>
        <scheme val="minor"/>
      </rPr>
      <t xml:space="preserve"> (Rs. In Lakhs)</t>
    </r>
  </si>
  <si>
    <r>
      <t>Add</t>
    </r>
    <r>
      <rPr>
        <sz val="11"/>
        <color indexed="8"/>
        <rFont val="Calibri"/>
        <family val="2"/>
        <scheme val="minor"/>
      </rPr>
      <t>: Deprication</t>
    </r>
  </si>
  <si>
    <r>
      <rPr>
        <b/>
        <u/>
        <sz val="11"/>
        <rFont val="Calibri"/>
        <family val="2"/>
        <scheme val="minor"/>
      </rPr>
      <t>Less</t>
    </r>
    <r>
      <rPr>
        <sz val="11"/>
        <rFont val="Calibri"/>
        <family val="2"/>
        <scheme val="minor"/>
      </rPr>
      <t>: Depriciation</t>
    </r>
  </si>
  <si>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</si>
  <si>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</si>
  <si>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 xml:space="preserve">RoCE  for the project shall be more than 12% </t>
  </si>
  <si>
    <t xml:space="preserve">The project internal rate of return shall be more than 10% </t>
  </si>
  <si>
    <t>&gt;10%</t>
  </si>
  <si>
    <t>Key Crops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</si>
</sst>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 numFmtId="177" formatCode="[$-4000439]0"/>
  </numFmts>
  <fonts count="47"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1"/>
      <color indexed="8"/>
      <name val="Calibri"/>
      <family val="2"/>
    </font>
    <font>
      <b/>
      <sz val="11"/>
      <name val="Garamond"/>
      <family val="1"/>
    </font>
    <font>
      <sz val="11"/>
      <color theme="1"/>
      <name val="Garamond"/>
      <family val="1"/>
    </font>
    <font>
      <b/>
      <sz val="11"/>
      <color theme="1"/>
      <name val="Garamond"/>
      <family val="1"/>
    </font>
    <font>
      <b/>
      <sz val="11"/>
      <color theme="0"/>
      <name val="Garamond"/>
      <family val="1"/>
    </font>
    <font>
      <sz val="11"/>
      <color theme="0"/>
      <name val="Garamond"/>
      <family val="1"/>
    </font>
    <font>
      <b/>
      <sz val="11"/>
      <color theme="0"/>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365F91"/>
      <name val="Calibri"/>
      <family val="2"/>
      <scheme val="minor"/>
    </font>
    <font>
      <b/>
      <i/>
      <sz val="11"/>
      <color rgb="FF000000"/>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i/>
      <sz val="11"/>
      <color rgb="FF000000"/>
      <name val="Calibri"/>
      <family val="2"/>
      <scheme val="minor"/>
    </font>
    <font>
      <b/>
      <strike/>
      <sz val="11"/>
      <color theme="1"/>
      <name val="Calibri"/>
      <family val="2"/>
      <scheme val="minor"/>
    </font>
    <font>
      <strike/>
      <sz val="11"/>
      <color rgb="FF000000"/>
      <name val="Calibri"/>
      <family val="2"/>
      <scheme val="minor"/>
    </font>
    <font>
      <b/>
      <sz val="11"/>
      <color indexed="8"/>
      <name val="Calibri"/>
      <family val="2"/>
      <scheme val="minor"/>
    </font>
    <font>
      <sz val="11"/>
      <color indexed="8"/>
      <name val="Calibri"/>
      <family val="2"/>
      <scheme val="minor"/>
    </font>
    <font>
      <sz val="11"/>
      <name val="Calibri"/>
      <family val="2"/>
      <scheme val="minor"/>
    </font>
    <font>
      <b/>
      <sz val="11"/>
      <color rgb="FF202122"/>
      <name val="Calibri"/>
      <family val="2"/>
      <scheme val="minor"/>
    </font>
    <font>
      <b/>
      <sz val="11"/>
      <color rgb="FF202124"/>
      <name val="Calibri"/>
      <family val="2"/>
      <scheme val="minor"/>
    </font>
    <font>
      <b/>
      <sz val="11"/>
      <color rgb="FF111111"/>
      <name val="Calibri"/>
      <family val="2"/>
      <scheme val="minor"/>
    </font>
    <font>
      <i/>
      <sz val="11"/>
      <color indexed="10"/>
      <name val="Calibri"/>
      <family val="2"/>
      <scheme val="minor"/>
    </font>
    <font>
      <b/>
      <sz val="11"/>
      <color indexed="56"/>
      <name val="Calibri"/>
      <family val="2"/>
      <scheme val="minor"/>
    </font>
    <font>
      <b/>
      <u/>
      <sz val="11"/>
      <name val="Calibri"/>
      <family val="2"/>
      <scheme val="minor"/>
    </font>
    <font>
      <sz val="11"/>
      <color indexed="17"/>
      <name val="Calibri"/>
      <family val="2"/>
      <scheme val="minor"/>
    </font>
    <font>
      <b/>
      <u/>
      <sz val="11"/>
      <color indexed="60"/>
      <name val="Calibri"/>
      <family val="2"/>
      <scheme val="minor"/>
    </font>
    <font>
      <sz val="11"/>
      <color indexed="60"/>
      <name val="Calibri"/>
      <family val="2"/>
      <scheme val="minor"/>
    </font>
    <font>
      <b/>
      <sz val="11"/>
      <color indexed="60"/>
      <name val="Calibri"/>
      <family val="2"/>
      <scheme val="minor"/>
    </font>
    <font>
      <b/>
      <sz val="11"/>
      <color rgb="FF222222"/>
      <name val="Calibri"/>
      <family val="2"/>
      <scheme val="minor"/>
    </font>
    <font>
      <sz val="11"/>
      <color rgb="FF222222"/>
      <name val="Calibri"/>
      <family val="2"/>
      <scheme val="minor"/>
    </font>
    <font>
      <b/>
      <sz val="11"/>
      <color rgb="FF272727"/>
      <name val="Calibri"/>
      <family val="2"/>
      <scheme val="minor"/>
    </font>
    <font>
      <sz val="11"/>
      <color rgb="FF424142"/>
      <name val="Calibri"/>
      <family val="2"/>
      <scheme val="minor"/>
    </font>
    <font>
      <b/>
      <u/>
      <sz val="11"/>
      <color indexed="8"/>
      <name val="Calibri"/>
      <family val="2"/>
      <scheme val="minor"/>
    </font>
    <font>
      <b/>
      <i/>
      <sz val="11"/>
      <color indexed="8"/>
      <name val="Calibri"/>
      <family val="2"/>
      <scheme val="minor"/>
    </font>
    <font>
      <b/>
      <u/>
      <sz val="11"/>
      <color indexed="12"/>
      <name val="Calibri"/>
      <family val="2"/>
      <scheme val="minor"/>
    </font>
    <font>
      <sz val="11"/>
      <color rgb="FFC00000"/>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172" fontId="1" fillId="0" borderId="0" applyFont="0" applyFill="0" applyBorder="0" applyAlignment="0" applyProtection="0"/>
    <xf numFmtId="43" fontId="4" fillId="0" borderId="0" applyFont="0" applyFill="0" applyBorder="0" applyAlignment="0" applyProtection="0"/>
  </cellStyleXfs>
  <cellXfs count="742">
    <xf numFmtId="0" fontId="0" fillId="0" borderId="0" xfId="0"/>
    <xf numFmtId="0" fontId="6" fillId="0" borderId="0" xfId="0" applyFont="1"/>
    <xf numFmtId="167" fontId="6" fillId="0" borderId="0" xfId="0" applyNumberFormat="1" applyFont="1"/>
    <xf numFmtId="0" fontId="6" fillId="0" borderId="1" xfId="0" applyFont="1" applyBorder="1"/>
    <xf numFmtId="0" fontId="6" fillId="0" borderId="0" xfId="0" applyFont="1" applyBorder="1"/>
    <xf numFmtId="169" fontId="6" fillId="0" borderId="1" xfId="2" applyNumberFormat="1" applyFont="1" applyBorder="1"/>
    <xf numFmtId="0" fontId="7" fillId="0" borderId="0" xfId="0" applyFont="1"/>
    <xf numFmtId="10" fontId="6" fillId="0" borderId="0" xfId="0" applyNumberFormat="1" applyFont="1"/>
    <xf numFmtId="9" fontId="6" fillId="0" borderId="0" xfId="0" applyNumberFormat="1" applyFont="1"/>
    <xf numFmtId="0" fontId="7" fillId="0" borderId="1" xfId="0" applyFont="1" applyBorder="1"/>
    <xf numFmtId="0" fontId="6" fillId="6" borderId="0" xfId="0" applyFont="1" applyFill="1"/>
    <xf numFmtId="0" fontId="6" fillId="7" borderId="0" xfId="0" applyFont="1" applyFill="1"/>
    <xf numFmtId="0" fontId="8" fillId="5" borderId="1" xfId="0" applyFont="1" applyFill="1" applyBorder="1"/>
    <xf numFmtId="0" fontId="8" fillId="5" borderId="1" xfId="0" applyFont="1" applyFill="1" applyBorder="1" applyAlignment="1">
      <alignment horizontal="center"/>
    </xf>
    <xf numFmtId="1" fontId="6" fillId="0" borderId="1" xfId="0" applyNumberFormat="1" applyFont="1" applyBorder="1"/>
    <xf numFmtId="0" fontId="6" fillId="7" borderId="1" xfId="0" applyFont="1" applyFill="1" applyBorder="1"/>
    <xf numFmtId="9" fontId="6" fillId="7" borderId="1" xfId="0" applyNumberFormat="1" applyFont="1" applyFill="1" applyBorder="1"/>
    <xf numFmtId="0" fontId="6" fillId="0" borderId="1" xfId="0" applyFont="1" applyFill="1" applyBorder="1"/>
    <xf numFmtId="9" fontId="6" fillId="0" borderId="1" xfId="0" applyNumberFormat="1" applyFont="1" applyFill="1" applyBorder="1"/>
    <xf numFmtId="169" fontId="7" fillId="6" borderId="1" xfId="2" applyNumberFormat="1" applyFont="1" applyFill="1" applyBorder="1"/>
    <xf numFmtId="169" fontId="7" fillId="0" borderId="1" xfId="2" applyNumberFormat="1" applyFont="1" applyBorder="1"/>
    <xf numFmtId="43" fontId="6" fillId="0" borderId="1" xfId="0" applyNumberFormat="1" applyFont="1" applyBorder="1"/>
    <xf numFmtId="169" fontId="6" fillId="0" borderId="0" xfId="2" applyNumberFormat="1" applyFont="1" applyBorder="1"/>
    <xf numFmtId="0" fontId="6" fillId="0" borderId="0" xfId="0" applyFont="1" applyFill="1" applyBorder="1"/>
    <xf numFmtId="43" fontId="6" fillId="0" borderId="0" xfId="0" applyNumberFormat="1" applyFont="1"/>
    <xf numFmtId="0" fontId="7" fillId="0" borderId="0" xfId="0" applyFont="1" applyAlignment="1">
      <alignment horizontal="center"/>
    </xf>
    <xf numFmtId="9" fontId="7" fillId="0" borderId="0" xfId="0" applyNumberFormat="1" applyFont="1" applyAlignment="1">
      <alignment horizontal="center"/>
    </xf>
    <xf numFmtId="10" fontId="7" fillId="0" borderId="0" xfId="0" applyNumberFormat="1" applyFont="1" applyAlignment="1">
      <alignment horizontal="center"/>
    </xf>
    <xf numFmtId="0" fontId="8" fillId="2" borderId="1" xfId="0" applyFont="1" applyFill="1" applyBorder="1"/>
    <xf numFmtId="0" fontId="8" fillId="2" borderId="1" xfId="0" applyFont="1" applyFill="1" applyBorder="1" applyAlignment="1">
      <alignment horizontal="center"/>
    </xf>
    <xf numFmtId="9" fontId="6" fillId="0" borderId="1" xfId="1" applyFont="1" applyBorder="1"/>
    <xf numFmtId="0" fontId="6" fillId="6" borderId="1" xfId="0" applyFont="1" applyFill="1" applyBorder="1"/>
    <xf numFmtId="169" fontId="6" fillId="6" borderId="1" xfId="2" applyNumberFormat="1" applyFont="1" applyFill="1" applyBorder="1"/>
    <xf numFmtId="0" fontId="6" fillId="0" borderId="1" xfId="0" applyFont="1" applyBorder="1" applyAlignment="1">
      <alignment wrapText="1"/>
    </xf>
    <xf numFmtId="0" fontId="6" fillId="6" borderId="1" xfId="0" applyFont="1" applyFill="1" applyBorder="1" applyAlignment="1">
      <alignment wrapText="1"/>
    </xf>
    <xf numFmtId="169" fontId="6" fillId="0" borderId="1" xfId="2" applyNumberFormat="1" applyFont="1" applyFill="1" applyBorder="1"/>
    <xf numFmtId="0" fontId="7" fillId="0" borderId="1" xfId="0" applyFont="1" applyBorder="1" applyAlignment="1">
      <alignment wrapText="1"/>
    </xf>
    <xf numFmtId="169" fontId="6" fillId="0" borderId="0" xfId="0" applyNumberFormat="1" applyFont="1"/>
    <xf numFmtId="0" fontId="7" fillId="0" borderId="1" xfId="0" applyFont="1" applyFill="1" applyBorder="1"/>
    <xf numFmtId="167" fontId="6" fillId="0" borderId="1" xfId="3" applyNumberFormat="1" applyFont="1" applyFill="1" applyBorder="1"/>
    <xf numFmtId="167" fontId="6" fillId="6" borderId="1" xfId="3" applyNumberFormat="1" applyFont="1" applyFill="1" applyBorder="1"/>
    <xf numFmtId="167" fontId="6" fillId="0" borderId="1" xfId="0" applyNumberFormat="1" applyFont="1" applyFill="1" applyBorder="1"/>
    <xf numFmtId="169" fontId="6" fillId="0" borderId="16" xfId="2" applyNumberFormat="1" applyFont="1" applyBorder="1"/>
    <xf numFmtId="169" fontId="7" fillId="0" borderId="1" xfId="2" applyNumberFormat="1" applyFont="1" applyBorder="1" applyAlignment="1">
      <alignment wrapText="1"/>
    </xf>
    <xf numFmtId="0" fontId="8" fillId="5" borderId="1" xfId="0" applyFont="1" applyFill="1" applyBorder="1" applyAlignment="1">
      <alignment wrapText="1"/>
    </xf>
    <xf numFmtId="0" fontId="7" fillId="6" borderId="1" xfId="0" applyFont="1" applyFill="1" applyBorder="1"/>
    <xf numFmtId="0" fontId="6" fillId="0" borderId="0" xfId="0" applyFont="1" applyAlignment="1">
      <alignment horizontal="center"/>
    </xf>
    <xf numFmtId="0" fontId="8" fillId="0" borderId="0" xfId="0" applyFont="1" applyFill="1" applyBorder="1" applyAlignment="1">
      <alignment horizontal="center"/>
    </xf>
    <xf numFmtId="0" fontId="6" fillId="0" borderId="0" xfId="0" applyNumberFormat="1" applyFont="1" applyFill="1" applyBorder="1"/>
    <xf numFmtId="1" fontId="6" fillId="0" borderId="0" xfId="0" applyNumberFormat="1" applyFont="1" applyFill="1" applyBorder="1"/>
    <xf numFmtId="0" fontId="7" fillId="0" borderId="0" xfId="0" applyFont="1" applyFill="1" applyBorder="1"/>
    <xf numFmtId="169" fontId="7" fillId="0" borderId="0" xfId="2" applyNumberFormat="1" applyFont="1" applyFill="1" applyBorder="1"/>
    <xf numFmtId="0" fontId="7" fillId="0" borderId="0" xfId="0" applyFont="1" applyAlignment="1"/>
    <xf numFmtId="9" fontId="6" fillId="0" borderId="0" xfId="1" applyFont="1"/>
    <xf numFmtId="170" fontId="6" fillId="0" borderId="0" xfId="0" applyNumberFormat="1" applyFont="1"/>
    <xf numFmtId="0" fontId="7" fillId="0" borderId="11" xfId="0" applyFont="1" applyFill="1" applyBorder="1" applyAlignment="1">
      <alignment wrapText="1"/>
    </xf>
    <xf numFmtId="9" fontId="6" fillId="6" borderId="1" xfId="1" applyFont="1" applyFill="1" applyBorder="1"/>
    <xf numFmtId="0" fontId="7" fillId="0" borderId="14" xfId="0" applyFont="1" applyBorder="1" applyAlignment="1">
      <alignment horizontal="center" vertical="center"/>
    </xf>
    <xf numFmtId="9" fontId="6" fillId="6" borderId="1" xfId="0" applyNumberFormat="1" applyFont="1" applyFill="1" applyBorder="1"/>
    <xf numFmtId="0" fontId="6" fillId="6" borderId="1" xfId="1" applyNumberFormat="1" applyFont="1" applyFill="1" applyBorder="1"/>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9" fontId="8" fillId="7" borderId="1" xfId="0" applyNumberFormat="1" applyFont="1" applyFill="1" applyBorder="1"/>
    <xf numFmtId="9" fontId="8" fillId="7" borderId="1" xfId="0" applyNumberFormat="1" applyFont="1" applyFill="1" applyBorder="1" applyAlignment="1">
      <alignment horizontal="center"/>
    </xf>
    <xf numFmtId="0" fontId="6" fillId="0" borderId="0" xfId="0" applyFont="1" applyFill="1"/>
    <xf numFmtId="9" fontId="9" fillId="7" borderId="1" xfId="0" applyNumberFormat="1" applyFont="1" applyFill="1" applyBorder="1"/>
    <xf numFmtId="170" fontId="9" fillId="7" borderId="1" xfId="0" applyNumberFormat="1" applyFont="1" applyFill="1" applyBorder="1"/>
    <xf numFmtId="0" fontId="6" fillId="0" borderId="1" xfId="0" applyNumberFormat="1" applyFont="1" applyBorder="1"/>
    <xf numFmtId="0" fontId="6" fillId="0" borderId="1" xfId="0" applyNumberFormat="1" applyFont="1" applyFill="1" applyBorder="1"/>
    <xf numFmtId="0" fontId="13" fillId="2" borderId="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169" fontId="14" fillId="0" borderId="1" xfId="2" applyNumberFormat="1" applyFont="1" applyBorder="1" applyAlignment="1">
      <alignment vertical="center" wrapText="1"/>
    </xf>
    <xf numFmtId="169" fontId="15" fillId="0" borderId="1" xfId="2" applyNumberFormat="1" applyFont="1" applyBorder="1" applyAlignment="1">
      <alignment horizontal="center" vertical="center" wrapText="1"/>
    </xf>
    <xf numFmtId="0" fontId="13" fillId="2" borderId="1" xfId="0" applyFont="1" applyFill="1" applyBorder="1" applyAlignment="1">
      <alignment vertical="center" wrapText="1"/>
    </xf>
    <xf numFmtId="9" fontId="14" fillId="0" borderId="1" xfId="3" applyNumberFormat="1" applyFont="1" applyFill="1" applyBorder="1" applyAlignment="1">
      <alignment horizontal="right" vertical="center" wrapText="1"/>
    </xf>
    <xf numFmtId="167" fontId="14" fillId="0" borderId="1" xfId="3" applyNumberFormat="1" applyFont="1" applyFill="1" applyBorder="1" applyAlignment="1">
      <alignment horizontal="right" vertical="center" wrapText="1"/>
    </xf>
    <xf numFmtId="9" fontId="14" fillId="7" borderId="1" xfId="3" applyNumberFormat="1" applyFont="1" applyFill="1" applyBorder="1" applyAlignment="1">
      <alignment horizontal="right" vertical="center" wrapText="1"/>
    </xf>
    <xf numFmtId="167" fontId="15" fillId="0" borderId="1" xfId="3" applyNumberFormat="1" applyFont="1" applyBorder="1" applyAlignment="1">
      <alignment horizontal="right" vertical="center" wrapText="1"/>
    </xf>
    <xf numFmtId="0" fontId="13" fillId="5" borderId="1" xfId="0" applyFont="1" applyFill="1" applyBorder="1" applyAlignment="1">
      <alignment vertical="center" wrapText="1"/>
    </xf>
    <xf numFmtId="0" fontId="13" fillId="5" borderId="1" xfId="0" applyFont="1" applyFill="1" applyBorder="1" applyAlignment="1">
      <alignment vertical="center"/>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 xfId="0" applyFont="1" applyFill="1" applyBorder="1" applyAlignment="1">
      <alignment horizontal="left" vertical="center" wrapText="1"/>
    </xf>
    <xf numFmtId="10" fontId="14" fillId="0" borderId="1" xfId="1"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0" xfId="0" applyFont="1" applyAlignment="1">
      <alignment vertical="center"/>
    </xf>
    <xf numFmtId="0" fontId="15" fillId="0" borderId="46"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4"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9" xfId="0" applyFont="1" applyBorder="1" applyAlignment="1">
      <alignment vertical="center"/>
    </xf>
    <xf numFmtId="0" fontId="14" fillId="0" borderId="10" xfId="0" applyFont="1" applyBorder="1" applyAlignment="1">
      <alignment vertical="center"/>
    </xf>
    <xf numFmtId="0" fontId="18" fillId="0" borderId="10" xfId="0" applyFont="1" applyBorder="1" applyAlignment="1">
      <alignment vertical="center"/>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vertical="center" wrapText="1"/>
    </xf>
    <xf numFmtId="0" fontId="11" fillId="0" borderId="8" xfId="0" applyFont="1" applyBorder="1" applyAlignment="1">
      <alignment vertical="center" wrapText="1"/>
    </xf>
    <xf numFmtId="0" fontId="11" fillId="0" borderId="4"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0" xfId="0" applyFont="1" applyAlignment="1">
      <alignment vertical="center"/>
    </xf>
    <xf numFmtId="2" fontId="0" fillId="0" borderId="10" xfId="0" applyNumberFormat="1" applyFont="1" applyBorder="1" applyAlignment="1">
      <alignment vertical="center" wrapText="1"/>
    </xf>
    <xf numFmtId="0" fontId="0" fillId="0" borderId="9" xfId="0" applyFont="1" applyBorder="1" applyAlignment="1">
      <alignment horizontal="right" vertical="center" wrapText="1"/>
    </xf>
    <xf numFmtId="0" fontId="0" fillId="0" borderId="10" xfId="0" applyFont="1" applyBorder="1" applyAlignment="1">
      <alignment horizontal="left" vertical="center" wrapText="1"/>
    </xf>
    <xf numFmtId="1" fontId="0" fillId="0" borderId="10" xfId="0" applyNumberFormat="1" applyFont="1" applyBorder="1" applyAlignment="1">
      <alignment horizontal="center" vertical="center" wrapText="1"/>
    </xf>
    <xf numFmtId="164" fontId="0" fillId="0" borderId="10" xfId="2" applyFont="1" applyBorder="1" applyAlignment="1">
      <alignment vertical="center" wrapText="1"/>
    </xf>
    <xf numFmtId="0" fontId="11" fillId="0" borderId="10"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9" xfId="0" applyFont="1" applyBorder="1" applyAlignment="1">
      <alignment vertical="center" wrapText="1"/>
    </xf>
    <xf numFmtId="0" fontId="0" fillId="0" borderId="24" xfId="0" applyFont="1" applyFill="1" applyBorder="1" applyAlignment="1">
      <alignment vertical="center" wrapText="1"/>
    </xf>
    <xf numFmtId="1" fontId="0" fillId="0" borderId="10" xfId="0" applyNumberFormat="1" applyFont="1" applyBorder="1" applyAlignment="1">
      <alignment vertical="center" wrapText="1"/>
    </xf>
    <xf numFmtId="0" fontId="0" fillId="0" borderId="21" xfId="0" applyFont="1" applyFill="1" applyBorder="1" applyAlignment="1">
      <alignment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horizontal="center" vertical="center" wrapText="1"/>
    </xf>
    <xf numFmtId="0" fontId="14" fillId="0" borderId="9" xfId="0" applyFont="1" applyBorder="1" applyAlignment="1">
      <alignment vertical="center" wrapText="1"/>
    </xf>
    <xf numFmtId="0" fontId="15" fillId="0" borderId="9" xfId="0" applyFont="1" applyBorder="1" applyAlignment="1">
      <alignment vertical="center"/>
    </xf>
    <xf numFmtId="0" fontId="14" fillId="0" borderId="10" xfId="0" applyFont="1" applyBorder="1" applyAlignment="1">
      <alignment vertical="center" wrapText="1"/>
    </xf>
    <xf numFmtId="169" fontId="14" fillId="0" borderId="10" xfId="2" applyNumberFormat="1" applyFont="1" applyBorder="1" applyAlignment="1">
      <alignment vertical="center" wrapText="1"/>
    </xf>
    <xf numFmtId="169" fontId="15" fillId="0" borderId="10" xfId="2" applyNumberFormat="1" applyFont="1" applyBorder="1" applyAlignment="1">
      <alignment vertical="center" wrapText="1"/>
    </xf>
    <xf numFmtId="0" fontId="15" fillId="0" borderId="38" xfId="0" applyFont="1" applyBorder="1" applyAlignment="1">
      <alignment vertical="center"/>
    </xf>
    <xf numFmtId="0" fontId="14" fillId="0" borderId="29" xfId="0" applyFont="1" applyBorder="1" applyAlignment="1">
      <alignment vertical="center"/>
    </xf>
    <xf numFmtId="0" fontId="14" fillId="0" borderId="38" xfId="0" applyFont="1" applyBorder="1" applyAlignment="1">
      <alignment vertical="center"/>
    </xf>
    <xf numFmtId="0" fontId="14" fillId="0" borderId="29" xfId="0" applyFont="1" applyBorder="1" applyAlignment="1">
      <alignment vertical="center" wrapText="1"/>
    </xf>
    <xf numFmtId="169" fontId="14" fillId="0" borderId="19" xfId="2" applyNumberFormat="1" applyFont="1" applyBorder="1" applyAlignment="1">
      <alignment vertical="center" wrapText="1"/>
    </xf>
    <xf numFmtId="0" fontId="14" fillId="0" borderId="1" xfId="0" applyFont="1" applyBorder="1" applyAlignment="1">
      <alignment vertical="center"/>
    </xf>
    <xf numFmtId="0" fontId="15" fillId="0" borderId="1" xfId="0" applyFont="1" applyBorder="1" applyAlignment="1">
      <alignment vertical="center"/>
    </xf>
    <xf numFmtId="1" fontId="14" fillId="0" borderId="1" xfId="0" applyNumberFormat="1" applyFont="1" applyBorder="1" applyAlignment="1">
      <alignment vertical="center"/>
    </xf>
    <xf numFmtId="0" fontId="15" fillId="0" borderId="8" xfId="0" applyFont="1" applyBorder="1" applyAlignment="1">
      <alignment vertical="center" wrapText="1"/>
    </xf>
    <xf numFmtId="0" fontId="15" fillId="0" borderId="4" xfId="0" applyFont="1" applyBorder="1" applyAlignment="1">
      <alignment horizontal="center" vertical="center" wrapText="1"/>
    </xf>
    <xf numFmtId="0" fontId="15" fillId="0" borderId="9" xfId="0" applyFont="1" applyBorder="1" applyAlignment="1">
      <alignment horizontal="right" vertical="center" wrapText="1"/>
    </xf>
    <xf numFmtId="0" fontId="15" fillId="0" borderId="10" xfId="0" applyFont="1" applyBorder="1" applyAlignment="1">
      <alignment vertical="center" wrapText="1"/>
    </xf>
    <xf numFmtId="0" fontId="15" fillId="0" borderId="9" xfId="0" applyFont="1" applyBorder="1" applyAlignment="1">
      <alignment vertical="center" wrapText="1"/>
    </xf>
    <xf numFmtId="0" fontId="15" fillId="0" borderId="38" xfId="0" applyFont="1" applyBorder="1" applyAlignment="1">
      <alignment horizontal="right" vertical="center" wrapText="1"/>
    </xf>
    <xf numFmtId="0" fontId="15" fillId="0" borderId="39" xfId="0" applyFont="1" applyBorder="1" applyAlignment="1">
      <alignment vertical="center" wrapText="1"/>
    </xf>
    <xf numFmtId="0" fontId="14" fillId="0" borderId="39" xfId="0"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14" fillId="0" borderId="9" xfId="0" applyFont="1" applyBorder="1" applyAlignment="1">
      <alignment horizontal="right" vertical="center" wrapText="1"/>
    </xf>
    <xf numFmtId="1" fontId="14" fillId="0" borderId="10" xfId="0" applyNumberFormat="1" applyFont="1" applyBorder="1" applyAlignment="1">
      <alignment vertical="center" wrapText="1"/>
    </xf>
    <xf numFmtId="1" fontId="15" fillId="0" borderId="10" xfId="0" applyNumberFormat="1" applyFont="1" applyBorder="1" applyAlignment="1">
      <alignment vertical="center" wrapText="1"/>
    </xf>
    <xf numFmtId="0" fontId="15" fillId="0" borderId="8" xfId="0" applyFont="1" applyBorder="1" applyAlignment="1">
      <alignment horizontal="center" vertical="center"/>
    </xf>
    <xf numFmtId="0" fontId="11" fillId="0" borderId="4" xfId="0" applyFont="1" applyBorder="1" applyAlignment="1">
      <alignment horizontal="center" vertical="center"/>
    </xf>
    <xf numFmtId="0" fontId="21" fillId="0" borderId="9" xfId="0" applyFont="1" applyBorder="1" applyAlignment="1">
      <alignment vertical="center"/>
    </xf>
    <xf numFmtId="0" fontId="0" fillId="0" borderId="10" xfId="0" applyFont="1" applyBorder="1" applyAlignment="1">
      <alignment vertical="center"/>
    </xf>
    <xf numFmtId="0" fontId="11" fillId="0" borderId="9" xfId="0" applyFont="1" applyBorder="1" applyAlignment="1">
      <alignment vertical="center"/>
    </xf>
    <xf numFmtId="3" fontId="0" fillId="0" borderId="10" xfId="0" applyNumberFormat="1" applyFont="1" applyBorder="1" applyAlignment="1">
      <alignment horizontal="right" vertical="center"/>
    </xf>
    <xf numFmtId="0" fontId="0" fillId="0" borderId="10" xfId="0" applyFont="1" applyBorder="1" applyAlignment="1">
      <alignment horizontal="right" vertical="center"/>
    </xf>
    <xf numFmtId="0" fontId="0" fillId="0" borderId="10" xfId="0" applyFont="1" applyBorder="1" applyAlignment="1">
      <alignment horizontal="right" vertical="center" wrapText="1"/>
    </xf>
    <xf numFmtId="3" fontId="0" fillId="0" borderId="10" xfId="0" applyNumberFormat="1" applyFont="1" applyBorder="1" applyAlignment="1">
      <alignment horizontal="right" vertical="center" wrapText="1"/>
    </xf>
    <xf numFmtId="0" fontId="0" fillId="0" borderId="9" xfId="0" applyFont="1" applyBorder="1" applyAlignment="1">
      <alignment vertical="center"/>
    </xf>
    <xf numFmtId="3" fontId="11" fillId="0" borderId="10" xfId="0" applyNumberFormat="1" applyFont="1" applyBorder="1" applyAlignment="1">
      <alignment horizontal="right" vertical="center"/>
    </xf>
    <xf numFmtId="0" fontId="11" fillId="0" borderId="10" xfId="0" applyFont="1" applyBorder="1" applyAlignment="1">
      <alignment horizontal="right" vertical="center"/>
    </xf>
    <xf numFmtId="0" fontId="11" fillId="0" borderId="10" xfId="0" applyFont="1" applyBorder="1" applyAlignment="1">
      <alignment horizontal="right" vertical="center" wrapText="1"/>
    </xf>
    <xf numFmtId="0" fontId="11" fillId="0" borderId="10" xfId="0" applyFont="1" applyBorder="1" applyAlignment="1">
      <alignment vertical="center"/>
    </xf>
    <xf numFmtId="3" fontId="11" fillId="0" borderId="10" xfId="0" applyNumberFormat="1" applyFont="1" applyBorder="1" applyAlignment="1">
      <alignment vertical="center"/>
    </xf>
    <xf numFmtId="0" fontId="15" fillId="0" borderId="3" xfId="0" applyFont="1" applyBorder="1" applyAlignment="1">
      <alignment vertical="center"/>
    </xf>
    <xf numFmtId="9" fontId="0" fillId="0" borderId="10" xfId="0" applyNumberFormat="1" applyFont="1" applyBorder="1" applyAlignment="1">
      <alignment vertical="center" wrapText="1"/>
    </xf>
    <xf numFmtId="0" fontId="11" fillId="0" borderId="9" xfId="0" applyFont="1" applyBorder="1" applyAlignment="1">
      <alignment vertical="center" wrapText="1"/>
    </xf>
    <xf numFmtId="0" fontId="15" fillId="0" borderId="8" xfId="0" applyFont="1" applyBorder="1" applyAlignment="1">
      <alignment horizontal="center" vertical="center" wrapText="1"/>
    </xf>
    <xf numFmtId="0" fontId="14" fillId="0" borderId="9" xfId="0" applyFont="1" applyBorder="1" applyAlignment="1">
      <alignment horizontal="right" vertical="center"/>
    </xf>
    <xf numFmtId="0" fontId="14" fillId="0" borderId="10" xfId="0" applyFont="1" applyBorder="1" applyAlignment="1">
      <alignment horizontal="right" vertical="center"/>
    </xf>
    <xf numFmtId="3" fontId="14" fillId="0" borderId="10" xfId="0" applyNumberFormat="1" applyFont="1" applyBorder="1" applyAlignment="1">
      <alignment horizontal="right" vertical="center"/>
    </xf>
    <xf numFmtId="1" fontId="14" fillId="0" borderId="10" xfId="0" applyNumberFormat="1" applyFont="1" applyBorder="1" applyAlignment="1">
      <alignment vertical="center"/>
    </xf>
    <xf numFmtId="1" fontId="14" fillId="0" borderId="10" xfId="0" applyNumberFormat="1" applyFont="1" applyBorder="1" applyAlignment="1">
      <alignment horizontal="right" vertical="center"/>
    </xf>
    <xf numFmtId="9" fontId="14" fillId="6" borderId="10" xfId="0" applyNumberFormat="1" applyFont="1" applyFill="1" applyBorder="1" applyAlignment="1">
      <alignment vertical="center" wrapText="1"/>
    </xf>
    <xf numFmtId="10" fontId="14" fillId="6" borderId="10" xfId="0" applyNumberFormat="1" applyFont="1" applyFill="1" applyBorder="1" applyAlignment="1">
      <alignment vertical="center" wrapText="1"/>
    </xf>
    <xf numFmtId="0" fontId="0" fillId="0" borderId="27" xfId="0" applyFont="1" applyBorder="1" applyAlignment="1">
      <alignment vertical="center" wrapText="1"/>
    </xf>
    <xf numFmtId="0" fontId="11" fillId="0" borderId="27" xfId="0" applyFont="1" applyBorder="1" applyAlignment="1">
      <alignment vertical="center" wrapText="1"/>
    </xf>
    <xf numFmtId="0" fontId="0" fillId="0" borderId="35" xfId="0" applyFont="1" applyBorder="1" applyAlignment="1">
      <alignment vertical="center" wrapText="1"/>
    </xf>
    <xf numFmtId="0" fontId="0" fillId="0" borderId="8" xfId="0" applyFont="1" applyBorder="1" applyAlignment="1">
      <alignment vertical="center" wrapText="1"/>
    </xf>
    <xf numFmtId="0" fontId="0" fillId="0" borderId="4" xfId="0" applyFont="1" applyBorder="1" applyAlignment="1">
      <alignment vertical="center" wrapText="1"/>
    </xf>
    <xf numFmtId="0" fontId="0" fillId="0" borderId="52" xfId="0" applyFont="1" applyBorder="1" applyAlignment="1">
      <alignment vertical="center" wrapText="1"/>
    </xf>
    <xf numFmtId="0" fontId="0" fillId="0" borderId="0" xfId="0" applyFont="1" applyBorder="1" applyAlignment="1">
      <alignment vertical="center" wrapText="1"/>
    </xf>
    <xf numFmtId="0" fontId="11" fillId="0" borderId="19" xfId="0" applyFont="1" applyBorder="1" applyAlignment="1">
      <alignment vertical="center" wrapText="1"/>
    </xf>
    <xf numFmtId="0" fontId="11" fillId="0" borderId="37"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28" xfId="0" applyFont="1" applyBorder="1" applyAlignment="1">
      <alignment vertical="center" wrapText="1"/>
    </xf>
    <xf numFmtId="0" fontId="11" fillId="0" borderId="19" xfId="0" applyFont="1" applyBorder="1" applyAlignment="1">
      <alignment horizontal="center" vertical="center" wrapText="1"/>
    </xf>
    <xf numFmtId="177" fontId="0" fillId="0" borderId="9" xfId="0" applyNumberFormat="1" applyFont="1" applyBorder="1" applyAlignment="1">
      <alignment vertical="center" wrapText="1"/>
    </xf>
    <xf numFmtId="9" fontId="11" fillId="0" borderId="10" xfId="0" applyNumberFormat="1" applyFont="1" applyBorder="1" applyAlignment="1">
      <alignment vertical="center" wrapText="1"/>
    </xf>
    <xf numFmtId="164" fontId="11" fillId="0" borderId="10" xfId="2" applyFont="1" applyBorder="1" applyAlignment="1">
      <alignment vertical="center" wrapText="1"/>
    </xf>
    <xf numFmtId="2" fontId="11" fillId="0" borderId="10" xfId="0" applyNumberFormat="1" applyFont="1" applyBorder="1" applyAlignment="1">
      <alignment vertical="center" wrapText="1"/>
    </xf>
    <xf numFmtId="0" fontId="0" fillId="0" borderId="0" xfId="0" applyFont="1" applyAlignment="1">
      <alignment vertical="center"/>
    </xf>
    <xf numFmtId="0" fontId="11" fillId="0" borderId="8" xfId="0" applyFont="1" applyBorder="1" applyAlignment="1">
      <alignment horizontal="left" vertical="center" wrapText="1"/>
    </xf>
    <xf numFmtId="0" fontId="11" fillId="0" borderId="4" xfId="0" applyFont="1" applyBorder="1" applyAlignment="1">
      <alignment horizontal="left" vertical="center" wrapText="1"/>
    </xf>
    <xf numFmtId="0" fontId="0" fillId="0" borderId="0" xfId="0" applyFont="1" applyAlignment="1">
      <alignment horizontal="left"/>
    </xf>
    <xf numFmtId="0" fontId="11" fillId="0" borderId="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vertical="center" wrapText="1"/>
    </xf>
    <xf numFmtId="0" fontId="11" fillId="0" borderId="28" xfId="0" applyFont="1" applyBorder="1" applyAlignment="1">
      <alignment horizontal="center" vertical="center" wrapText="1"/>
    </xf>
    <xf numFmtId="0" fontId="0" fillId="0" borderId="34" xfId="0" applyFont="1" applyBorder="1" applyAlignment="1">
      <alignment vertical="center" wrapText="1"/>
    </xf>
    <xf numFmtId="0" fontId="0" fillId="0" borderId="24" xfId="0" applyFont="1" applyBorder="1" applyAlignment="1">
      <alignment vertical="center" wrapText="1"/>
    </xf>
    <xf numFmtId="0" fontId="0" fillId="0" borderId="20"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53" xfId="0" applyFont="1" applyBorder="1" applyAlignment="1">
      <alignment vertical="center" wrapText="1"/>
    </xf>
    <xf numFmtId="0" fontId="0" fillId="0" borderId="12" xfId="0" applyFont="1" applyBorder="1" applyAlignment="1">
      <alignment vertical="center" wrapText="1"/>
    </xf>
    <xf numFmtId="0" fontId="0" fillId="0" borderId="9" xfId="0" applyFont="1" applyBorder="1" applyAlignment="1">
      <alignment horizontal="left" vertical="center" wrapText="1"/>
    </xf>
    <xf numFmtId="0" fontId="0" fillId="0" borderId="0" xfId="0" applyFont="1" applyBorder="1" applyAlignment="1">
      <alignment horizontal="center" vertical="center" wrapText="1"/>
    </xf>
    <xf numFmtId="0" fontId="11" fillId="0" borderId="31"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12"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9" xfId="0" applyFont="1" applyBorder="1" applyAlignment="1">
      <alignment horizontal="right" vertical="center" wrapText="1"/>
    </xf>
    <xf numFmtId="0" fontId="0" fillId="0" borderId="19" xfId="0" applyFont="1" applyBorder="1" applyAlignment="1">
      <alignment horizontal="justify" vertical="center" wrapText="1"/>
    </xf>
    <xf numFmtId="0" fontId="0" fillId="0" borderId="19"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9" xfId="0" applyFont="1" applyBorder="1" applyAlignment="1">
      <alignment horizontal="justify" vertical="center" wrapText="1"/>
    </xf>
    <xf numFmtId="0" fontId="14" fillId="0" borderId="28" xfId="0" applyFont="1" applyBorder="1" applyAlignment="1">
      <alignment vertical="center" wrapText="1"/>
    </xf>
    <xf numFmtId="0" fontId="14" fillId="0" borderId="19" xfId="0" applyFont="1" applyBorder="1" applyAlignment="1">
      <alignment vertical="center" wrapText="1"/>
    </xf>
    <xf numFmtId="0" fontId="0" fillId="0" borderId="29" xfId="0" applyFont="1" applyBorder="1" applyAlignment="1">
      <alignment vertical="center" wrapText="1"/>
    </xf>
    <xf numFmtId="0" fontId="0" fillId="0" borderId="14" xfId="0" applyFont="1" applyBorder="1" applyAlignment="1">
      <alignment horizontal="center" vertical="center"/>
    </xf>
    <xf numFmtId="0" fontId="0" fillId="0" borderId="2" xfId="0" applyFont="1" applyBorder="1" applyAlignment="1">
      <alignment vertical="center" wrapText="1"/>
    </xf>
    <xf numFmtId="0" fontId="11" fillId="0" borderId="1" xfId="0" applyFont="1" applyBorder="1" applyAlignment="1">
      <alignment horizontal="center" vertical="center"/>
    </xf>
    <xf numFmtId="0" fontId="0" fillId="0" borderId="1" xfId="0" applyFont="1" applyBorder="1" applyAlignment="1">
      <alignment horizontal="center" vertical="center"/>
    </xf>
    <xf numFmtId="0" fontId="26" fillId="0" borderId="1" xfId="0" applyFont="1" applyFill="1" applyBorder="1" applyAlignment="1">
      <alignment vertical="center" wrapText="1"/>
    </xf>
    <xf numFmtId="0" fontId="27" fillId="0" borderId="0" xfId="0" applyFont="1" applyBorder="1" applyAlignment="1">
      <alignment vertical="center"/>
    </xf>
    <xf numFmtId="0" fontId="31" fillId="0" borderId="0" xfId="0" applyFont="1" applyBorder="1" applyAlignment="1">
      <alignment vertical="center"/>
    </xf>
    <xf numFmtId="0" fontId="16" fillId="0" borderId="0" xfId="0" applyFont="1" applyBorder="1" applyAlignment="1">
      <alignment vertical="center"/>
    </xf>
    <xf numFmtId="0" fontId="10" fillId="2" borderId="18" xfId="0" applyFont="1" applyFill="1" applyBorder="1" applyAlignment="1">
      <alignment vertical="center"/>
    </xf>
    <xf numFmtId="0" fontId="27" fillId="0" borderId="5" xfId="0" applyFont="1" applyFill="1" applyBorder="1" applyAlignment="1">
      <alignment vertical="center"/>
    </xf>
    <xf numFmtId="37" fontId="16" fillId="0" borderId="1" xfId="3" applyNumberFormat="1" applyFont="1" applyFill="1" applyBorder="1" applyAlignment="1">
      <alignment vertical="center"/>
    </xf>
    <xf numFmtId="3" fontId="32" fillId="0" borderId="1" xfId="9" applyNumberFormat="1" applyFont="1" applyFill="1" applyBorder="1" applyAlignment="1">
      <alignment horizontal="right" vertical="center"/>
    </xf>
    <xf numFmtId="0" fontId="27" fillId="0" borderId="0" xfId="0" applyFont="1" applyFill="1" applyBorder="1" applyAlignment="1">
      <alignment vertical="center"/>
    </xf>
    <xf numFmtId="0" fontId="33" fillId="0" borderId="5" xfId="0" applyFont="1" applyFill="1" applyBorder="1" applyAlignment="1">
      <alignment vertical="center"/>
    </xf>
    <xf numFmtId="4" fontId="27" fillId="0" borderId="1" xfId="3" applyNumberFormat="1" applyFont="1" applyFill="1" applyBorder="1" applyAlignment="1">
      <alignment vertical="center"/>
    </xf>
    <xf numFmtId="0" fontId="16" fillId="0" borderId="5" xfId="0" applyFont="1" applyFill="1" applyBorder="1" applyAlignment="1">
      <alignment horizontal="left" vertical="center"/>
    </xf>
    <xf numFmtId="4" fontId="34" fillId="0" borderId="1" xfId="3" applyNumberFormat="1" applyFont="1" applyFill="1" applyBorder="1" applyAlignment="1">
      <alignment vertical="center"/>
    </xf>
    <xf numFmtId="3" fontId="16" fillId="0" borderId="1" xfId="3" applyNumberFormat="1" applyFont="1" applyFill="1" applyBorder="1" applyAlignment="1">
      <alignment vertical="center"/>
    </xf>
    <xf numFmtId="3" fontId="27" fillId="0" borderId="0" xfId="0" applyNumberFormat="1" applyFont="1" applyBorder="1" applyAlignment="1">
      <alignment vertical="center"/>
    </xf>
    <xf numFmtId="3" fontId="27" fillId="0" borderId="1" xfId="3" applyNumberFormat="1" applyFont="1" applyFill="1" applyBorder="1" applyAlignment="1">
      <alignment vertical="center"/>
    </xf>
    <xf numFmtId="0" fontId="27" fillId="0" borderId="5" xfId="0" applyFont="1" applyFill="1" applyBorder="1" applyAlignment="1">
      <alignment horizontal="left" vertical="center"/>
    </xf>
    <xf numFmtId="0" fontId="16" fillId="0" borderId="5" xfId="0" applyFont="1" applyFill="1" applyBorder="1" applyAlignment="1">
      <alignment vertical="center"/>
    </xf>
    <xf numFmtId="3" fontId="16"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4" fillId="0" borderId="1" xfId="3" applyNumberFormat="1" applyFont="1" applyFill="1" applyBorder="1" applyAlignment="1">
      <alignment vertical="center"/>
    </xf>
    <xf numFmtId="3" fontId="32"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25" fillId="0" borderId="5" xfId="0" applyFont="1" applyFill="1" applyBorder="1" applyAlignment="1">
      <alignment vertical="center"/>
    </xf>
    <xf numFmtId="3" fontId="25"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5" fillId="0" borderId="5" xfId="0" applyFont="1" applyFill="1" applyBorder="1" applyAlignment="1">
      <alignment vertical="center"/>
    </xf>
    <xf numFmtId="4" fontId="36" fillId="0" borderId="1" xfId="0" applyNumberFormat="1" applyFont="1" applyFill="1" applyBorder="1" applyAlignment="1">
      <alignment vertical="center"/>
    </xf>
    <xf numFmtId="0" fontId="37" fillId="0" borderId="5" xfId="0" applyFont="1" applyFill="1" applyBorder="1" applyAlignment="1">
      <alignment vertical="center"/>
    </xf>
    <xf numFmtId="4" fontId="37" fillId="0" borderId="1" xfId="9" applyNumberFormat="1" applyFont="1" applyFill="1" applyBorder="1" applyAlignment="1">
      <alignment vertical="center"/>
    </xf>
    <xf numFmtId="0" fontId="37" fillId="0" borderId="6" xfId="0" applyFont="1" applyFill="1" applyBorder="1" applyAlignment="1">
      <alignment vertical="center"/>
    </xf>
    <xf numFmtId="4" fontId="37" fillId="0" borderId="7" xfId="0" applyNumberFormat="1" applyFont="1" applyFill="1" applyBorder="1" applyAlignment="1">
      <alignment vertical="center"/>
    </xf>
    <xf numFmtId="4" fontId="27" fillId="0" borderId="0" xfId="0" applyNumberFormat="1" applyFont="1" applyBorder="1" applyAlignment="1">
      <alignmen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69" fontId="27" fillId="0" borderId="1" xfId="2"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vertical="center" wrapText="1"/>
    </xf>
    <xf numFmtId="0" fontId="15" fillId="6" borderId="1" xfId="0" applyFont="1" applyFill="1" applyBorder="1" applyAlignment="1">
      <alignment horizontal="center" vertical="center" wrapText="1"/>
    </xf>
    <xf numFmtId="169" fontId="14" fillId="0" borderId="1" xfId="2" applyNumberFormat="1" applyFont="1" applyFill="1" applyBorder="1" applyAlignment="1">
      <alignment horizontal="right" vertical="center" wrapText="1"/>
    </xf>
    <xf numFmtId="0" fontId="14" fillId="0" borderId="1" xfId="0" applyFont="1" applyFill="1" applyBorder="1" applyAlignment="1">
      <alignment vertical="center" wrapText="1"/>
    </xf>
    <xf numFmtId="0" fontId="15" fillId="6" borderId="16" xfId="0" applyFont="1" applyFill="1" applyBorder="1" applyAlignment="1">
      <alignment horizontal="center" vertical="center" wrapText="1"/>
    </xf>
    <xf numFmtId="169" fontId="15" fillId="0" borderId="1" xfId="2" applyNumberFormat="1" applyFont="1" applyFill="1" applyBorder="1" applyAlignment="1">
      <alignment horizontal="right" vertical="center" wrapText="1"/>
    </xf>
    <xf numFmtId="9" fontId="15" fillId="7" borderId="1" xfId="0" applyNumberFormat="1" applyFont="1" applyFill="1" applyBorder="1" applyAlignment="1">
      <alignment horizontal="center" vertical="center" wrapText="1"/>
    </xf>
    <xf numFmtId="0" fontId="10" fillId="5" borderId="1" xfId="0" applyFont="1" applyFill="1" applyBorder="1" applyAlignment="1">
      <alignment vertical="center"/>
    </xf>
    <xf numFmtId="0" fontId="10" fillId="5" borderId="1" xfId="0" applyFont="1" applyFill="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173" fontId="27" fillId="0" borderId="1" xfId="9" applyNumberFormat="1" applyFont="1" applyFill="1" applyBorder="1" applyAlignment="1">
      <alignment vertical="center"/>
    </xf>
    <xf numFmtId="174" fontId="16" fillId="0" borderId="0" xfId="9" applyNumberFormat="1" applyFont="1" applyFill="1" applyBorder="1" applyAlignment="1">
      <alignment vertical="center"/>
    </xf>
    <xf numFmtId="173" fontId="16" fillId="0" borderId="1" xfId="9" applyNumberFormat="1" applyFont="1" applyFill="1" applyBorder="1" applyAlignment="1">
      <alignment vertical="center"/>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166" fontId="27" fillId="0" borderId="1" xfId="3" applyFont="1" applyFill="1" applyBorder="1" applyAlignment="1">
      <alignment horizontal="right" vertical="center" wrapText="1"/>
    </xf>
    <xf numFmtId="164" fontId="27" fillId="0" borderId="1" xfId="2" applyFont="1" applyFill="1" applyBorder="1" applyAlignment="1">
      <alignment horizontal="left" vertical="center" wrapText="1"/>
    </xf>
    <xf numFmtId="169" fontId="27" fillId="0" borderId="1" xfId="2" applyNumberFormat="1" applyFont="1" applyFill="1" applyBorder="1" applyAlignment="1">
      <alignment vertical="center" wrapText="1"/>
    </xf>
    <xf numFmtId="164" fontId="12" fillId="0" borderId="1" xfId="2" applyFont="1" applyFill="1" applyBorder="1" applyAlignment="1">
      <alignment horizontal="left" vertical="center" wrapText="1"/>
    </xf>
    <xf numFmtId="169" fontId="12" fillId="0" borderId="1" xfId="2" applyNumberFormat="1" applyFont="1" applyFill="1" applyBorder="1" applyAlignment="1">
      <alignment vertical="center" wrapText="1"/>
    </xf>
    <xf numFmtId="164" fontId="27" fillId="0" borderId="1" xfId="2" applyFont="1" applyFill="1" applyBorder="1" applyAlignment="1">
      <alignment vertical="center" wrapText="1"/>
    </xf>
    <xf numFmtId="167" fontId="16" fillId="0" borderId="1" xfId="3" applyNumberFormat="1" applyFont="1" applyFill="1" applyBorder="1" applyAlignment="1">
      <alignment horizontal="right" vertical="center" wrapText="1"/>
    </xf>
    <xf numFmtId="167" fontId="27" fillId="0" borderId="1" xfId="3" applyNumberFormat="1" applyFont="1" applyFill="1" applyBorder="1" applyAlignment="1">
      <alignment horizontal="right" vertical="center" wrapText="1"/>
    </xf>
    <xf numFmtId="0" fontId="16" fillId="0" borderId="1" xfId="0" applyFont="1" applyFill="1" applyBorder="1" applyAlignment="1">
      <alignment vertical="center" wrapText="1"/>
    </xf>
    <xf numFmtId="169" fontId="16" fillId="0" borderId="1" xfId="2"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169" fontId="27" fillId="0" borderId="1" xfId="2" applyNumberFormat="1" applyFont="1" applyFill="1" applyBorder="1" applyAlignment="1">
      <alignment horizontal="right" vertical="center" wrapText="1"/>
    </xf>
    <xf numFmtId="9" fontId="27" fillId="0" borderId="1" xfId="0" applyNumberFormat="1" applyFont="1" applyFill="1" applyBorder="1" applyAlignment="1">
      <alignment horizontal="center" vertical="center" wrapText="1"/>
    </xf>
    <xf numFmtId="0" fontId="16" fillId="0" borderId="1" xfId="0" applyFont="1" applyFill="1" applyBorder="1" applyAlignment="1">
      <alignment horizontal="right" vertical="center" wrapText="1"/>
    </xf>
    <xf numFmtId="167" fontId="27" fillId="0" borderId="1" xfId="3" applyNumberFormat="1" applyFont="1" applyFill="1" applyBorder="1" applyAlignment="1">
      <alignment horizontal="center" vertical="center" wrapText="1"/>
    </xf>
    <xf numFmtId="0" fontId="0" fillId="0" borderId="0" xfId="0" applyFont="1" applyAlignment="1">
      <alignment vertical="center" wrapText="1"/>
    </xf>
    <xf numFmtId="0" fontId="0" fillId="6" borderId="16" xfId="0" applyFont="1" applyFill="1" applyBorder="1" applyAlignment="1">
      <alignment vertical="center" wrapText="1"/>
    </xf>
    <xf numFmtId="0" fontId="0" fillId="7" borderId="16" xfId="0" applyFont="1" applyFill="1" applyBorder="1" applyAlignment="1">
      <alignment vertical="center" wrapText="1"/>
    </xf>
    <xf numFmtId="0" fontId="0" fillId="0" borderId="0" xfId="0" applyFont="1" applyFill="1" applyAlignment="1">
      <alignment vertical="center" wrapText="1"/>
    </xf>
    <xf numFmtId="0" fontId="11" fillId="11" borderId="1" xfId="0" applyFont="1" applyFill="1" applyBorder="1" applyAlignment="1">
      <alignment vertical="center" wrapText="1"/>
    </xf>
    <xf numFmtId="0" fontId="46" fillId="0" borderId="1" xfId="0" applyFont="1" applyBorder="1" applyAlignment="1">
      <alignment vertical="center" wrapText="1"/>
    </xf>
    <xf numFmtId="0" fontId="0" fillId="0" borderId="1" xfId="0" applyFont="1" applyBorder="1" applyAlignment="1">
      <alignment vertical="center" wrapText="1"/>
    </xf>
    <xf numFmtId="0" fontId="0" fillId="0" borderId="2" xfId="0" applyFont="1" applyFill="1" applyBorder="1" applyAlignment="1">
      <alignment vertical="center" wrapText="1"/>
    </xf>
    <xf numFmtId="0" fontId="11" fillId="11" borderId="2" xfId="0" applyFont="1" applyFill="1" applyBorder="1" applyAlignment="1">
      <alignment vertical="center" wrapText="1"/>
    </xf>
    <xf numFmtId="0" fontId="0" fillId="0" borderId="1" xfId="0" applyFont="1" applyBorder="1" applyAlignment="1">
      <alignment horizontal="center" vertical="center" wrapText="1"/>
    </xf>
    <xf numFmtId="9" fontId="0" fillId="7" borderId="1" xfId="0" applyNumberFormat="1" applyFont="1" applyFill="1" applyBorder="1" applyAlignment="1">
      <alignment vertical="center"/>
    </xf>
    <xf numFmtId="169" fontId="0" fillId="0" borderId="1" xfId="0" applyNumberFormat="1" applyFont="1" applyBorder="1" applyAlignment="1">
      <alignment vertical="center"/>
    </xf>
    <xf numFmtId="169" fontId="0" fillId="0" borderId="0" xfId="0" applyNumberFormat="1" applyFont="1" applyAlignment="1">
      <alignment vertical="center"/>
    </xf>
    <xf numFmtId="43" fontId="0" fillId="0" borderId="0" xfId="0" applyNumberFormat="1" applyFont="1" applyAlignment="1">
      <alignment vertical="center"/>
    </xf>
    <xf numFmtId="0" fontId="0" fillId="0" borderId="1" xfId="0" applyFont="1" applyBorder="1" applyAlignment="1">
      <alignment vertical="center"/>
    </xf>
    <xf numFmtId="167" fontId="0" fillId="0" borderId="0" xfId="0" applyNumberFormat="1" applyFont="1" applyAlignment="1">
      <alignment vertical="center"/>
    </xf>
    <xf numFmtId="0" fontId="11" fillId="0" borderId="15" xfId="0" applyFont="1" applyBorder="1" applyAlignment="1">
      <alignment horizontal="center" vertical="center"/>
    </xf>
    <xf numFmtId="0" fontId="0" fillId="0" borderId="11" xfId="0" applyFont="1" applyBorder="1" applyAlignment="1">
      <alignment vertical="center"/>
    </xf>
    <xf numFmtId="0" fontId="0" fillId="0" borderId="2" xfId="0" applyFont="1" applyBorder="1" applyAlignment="1">
      <alignment vertical="center"/>
    </xf>
    <xf numFmtId="164" fontId="0" fillId="0" borderId="2" xfId="2" applyFont="1" applyBorder="1" applyAlignment="1">
      <alignment vertical="center"/>
    </xf>
    <xf numFmtId="0" fontId="0" fillId="0" borderId="12" xfId="0" applyFont="1" applyBorder="1" applyAlignment="1">
      <alignment vertical="center"/>
    </xf>
    <xf numFmtId="0" fontId="0" fillId="0" borderId="14" xfId="0" applyFont="1" applyBorder="1" applyAlignment="1">
      <alignment vertical="center"/>
    </xf>
    <xf numFmtId="164" fontId="0" fillId="0" borderId="14" xfId="2" applyFont="1" applyBorder="1" applyAlignment="1">
      <alignment vertical="center"/>
    </xf>
    <xf numFmtId="164" fontId="11" fillId="0" borderId="2" xfId="2" applyFont="1" applyBorder="1" applyAlignment="1">
      <alignment vertical="center"/>
    </xf>
    <xf numFmtId="164" fontId="0" fillId="0" borderId="0" xfId="2" applyFont="1" applyAlignment="1">
      <alignment vertical="center"/>
    </xf>
    <xf numFmtId="0" fontId="15" fillId="0" borderId="13" xfId="0" applyFont="1" applyBorder="1" applyAlignment="1">
      <alignment vertical="center"/>
    </xf>
    <xf numFmtId="0" fontId="0" fillId="0" borderId="13"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1" fillId="0" borderId="0" xfId="0" applyFont="1" applyAlignment="1">
      <alignment horizontal="left" vertical="center"/>
    </xf>
    <xf numFmtId="0" fontId="0" fillId="0" borderId="23" xfId="0" applyFont="1" applyBorder="1" applyAlignment="1">
      <alignment vertical="center"/>
    </xf>
    <xf numFmtId="0" fontId="0" fillId="0" borderId="20" xfId="0" applyFont="1" applyBorder="1" applyAlignment="1">
      <alignment vertical="center"/>
    </xf>
    <xf numFmtId="0" fontId="0" fillId="0" borderId="25" xfId="0" applyFont="1" applyBorder="1" applyAlignment="1">
      <alignment vertical="center"/>
    </xf>
    <xf numFmtId="9" fontId="0" fillId="0" borderId="14" xfId="0" applyNumberFormat="1" applyFont="1" applyBorder="1" applyAlignment="1">
      <alignment vertical="center"/>
    </xf>
    <xf numFmtId="9" fontId="0" fillId="0" borderId="26" xfId="0" applyNumberFormat="1"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0" fillId="0" borderId="0" xfId="0" applyFont="1" applyBorder="1" applyAlignment="1">
      <alignment vertical="center"/>
    </xf>
    <xf numFmtId="9" fontId="0" fillId="0" borderId="0" xfId="0" applyNumberFormat="1" applyFont="1" applyBorder="1" applyAlignment="1">
      <alignment vertical="center"/>
    </xf>
    <xf numFmtId="0" fontId="15" fillId="0" borderId="9" xfId="0" applyFont="1" applyBorder="1" applyAlignment="1">
      <alignment horizontal="right" vertical="center"/>
    </xf>
    <xf numFmtId="0" fontId="14" fillId="0" borderId="9" xfId="0" applyFont="1" applyBorder="1" applyAlignment="1">
      <alignment horizontal="left" vertical="center"/>
    </xf>
    <xf numFmtId="0" fontId="14" fillId="0" borderId="38" xfId="0" applyFont="1" applyBorder="1" applyAlignment="1">
      <alignment horizontal="left" vertical="center"/>
    </xf>
    <xf numFmtId="169" fontId="0" fillId="0" borderId="1" xfId="2" applyNumberFormat="1" applyFont="1" applyBorder="1" applyAlignment="1">
      <alignment vertical="center"/>
    </xf>
    <xf numFmtId="0" fontId="11" fillId="0" borderId="9" xfId="0" applyFont="1" applyBorder="1" applyAlignment="1">
      <alignment horizontal="left" vertical="center"/>
    </xf>
    <xf numFmtId="0" fontId="0" fillId="0" borderId="9" xfId="0" applyFont="1" applyBorder="1" applyAlignment="1">
      <alignment horizontal="left" vertical="center"/>
    </xf>
    <xf numFmtId="3" fontId="0" fillId="0" borderId="0" xfId="0" applyNumberFormat="1" applyFont="1" applyAlignment="1">
      <alignment vertical="center"/>
    </xf>
    <xf numFmtId="10" fontId="0" fillId="0" borderId="0" xfId="0" applyNumberFormat="1" applyFont="1" applyAlignment="1">
      <alignment vertical="center"/>
    </xf>
    <xf numFmtId="2" fontId="0" fillId="0" borderId="0" xfId="0" applyNumberFormat="1" applyFont="1" applyAlignment="1">
      <alignment vertical="center"/>
    </xf>
    <xf numFmtId="9" fontId="0" fillId="0" borderId="0" xfId="0" applyNumberFormat="1" applyFont="1" applyAlignment="1">
      <alignment vertical="center"/>
    </xf>
    <xf numFmtId="0" fontId="11" fillId="0" borderId="1" xfId="0" applyFont="1" applyBorder="1" applyAlignment="1">
      <alignment vertical="center"/>
    </xf>
    <xf numFmtId="2" fontId="0" fillId="0" borderId="1" xfId="0" applyNumberFormat="1" applyFont="1" applyBorder="1" applyAlignment="1">
      <alignment vertical="center"/>
    </xf>
    <xf numFmtId="0" fontId="0" fillId="0" borderId="0" xfId="0" applyFont="1" applyAlignment="1">
      <alignment horizontal="left" vertical="center"/>
    </xf>
    <xf numFmtId="0" fontId="0" fillId="0" borderId="24" xfId="0" applyFont="1" applyBorder="1" applyAlignment="1">
      <alignment vertical="center"/>
    </xf>
    <xf numFmtId="0" fontId="11" fillId="0" borderId="23" xfId="0" applyFont="1" applyBorder="1" applyAlignment="1">
      <alignment vertical="center"/>
    </xf>
    <xf numFmtId="0" fontId="0" fillId="0" borderId="26" xfId="0" applyFont="1" applyBorder="1" applyAlignment="1">
      <alignment vertical="center"/>
    </xf>
    <xf numFmtId="0" fontId="0" fillId="0" borderId="16" xfId="0" applyFont="1" applyBorder="1" applyAlignment="1">
      <alignment horizontal="center" vertical="center"/>
    </xf>
    <xf numFmtId="0" fontId="0" fillId="0" borderId="22" xfId="0" applyFont="1" applyBorder="1" applyAlignment="1">
      <alignment vertical="center"/>
    </xf>
    <xf numFmtId="0" fontId="11" fillId="0" borderId="10" xfId="0" applyFont="1" applyBorder="1" applyAlignment="1">
      <alignment horizontal="left" vertical="center" wrapText="1"/>
    </xf>
    <xf numFmtId="0" fontId="14" fillId="0" borderId="10" xfId="0" applyFont="1" applyBorder="1" applyAlignment="1">
      <alignment horizontal="left" vertical="center" wrapText="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0" fillId="6" borderId="1" xfId="0" applyFont="1" applyFill="1" applyBorder="1" applyAlignment="1">
      <alignment vertical="center"/>
    </xf>
    <xf numFmtId="0" fontId="0" fillId="0" borderId="1" xfId="0" applyFont="1" applyFill="1" applyBorder="1" applyAlignment="1">
      <alignment vertical="center"/>
    </xf>
    <xf numFmtId="0" fontId="0" fillId="0" borderId="0" xfId="0" applyFont="1" applyBorder="1" applyAlignment="1">
      <alignment horizontal="center" vertical="center"/>
    </xf>
    <xf numFmtId="0" fontId="0" fillId="0" borderId="0"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0" fillId="0" borderId="1" xfId="0" applyFont="1" applyFill="1" applyBorder="1" applyAlignment="1">
      <alignment vertical="center" wrapText="1"/>
    </xf>
    <xf numFmtId="0" fontId="11" fillId="0" borderId="1" xfId="0" applyFont="1" applyFill="1" applyBorder="1" applyAlignment="1">
      <alignment vertical="center"/>
    </xf>
    <xf numFmtId="169" fontId="11" fillId="0" borderId="1" xfId="2" applyNumberFormat="1" applyFont="1" applyBorder="1" applyAlignment="1">
      <alignment vertical="center"/>
    </xf>
    <xf numFmtId="9" fontId="0" fillId="6" borderId="1" xfId="0" applyNumberFormat="1" applyFont="1" applyFill="1" applyBorder="1" applyAlignment="1">
      <alignment vertical="center"/>
    </xf>
    <xf numFmtId="0" fontId="11" fillId="6" borderId="1" xfId="0" applyFont="1" applyFill="1" applyBorder="1" applyAlignment="1">
      <alignment vertical="center"/>
    </xf>
    <xf numFmtId="0" fontId="0" fillId="6" borderId="1" xfId="0" applyFont="1" applyFill="1" applyBorder="1" applyAlignment="1">
      <alignment vertical="center" wrapText="1"/>
    </xf>
    <xf numFmtId="169" fontId="0" fillId="6" borderId="1" xfId="2" applyNumberFormat="1" applyFont="1" applyFill="1" applyBorder="1" applyAlignment="1">
      <alignment vertical="center" wrapText="1"/>
    </xf>
    <xf numFmtId="0" fontId="11" fillId="0" borderId="0" xfId="0" applyFont="1" applyBorder="1" applyAlignment="1">
      <alignment vertical="center"/>
    </xf>
    <xf numFmtId="169" fontId="11" fillId="0" borderId="0" xfId="2" applyNumberFormat="1" applyFont="1" applyBorder="1" applyAlignment="1">
      <alignment vertical="center"/>
    </xf>
    <xf numFmtId="9" fontId="11" fillId="0" borderId="0" xfId="1" applyFont="1" applyBorder="1" applyAlignment="1">
      <alignment vertical="center"/>
    </xf>
    <xf numFmtId="171" fontId="0" fillId="6" borderId="0" xfId="0" applyNumberFormat="1" applyFont="1" applyFill="1" applyBorder="1" applyAlignment="1">
      <alignment vertical="center"/>
    </xf>
    <xf numFmtId="166" fontId="0" fillId="0" borderId="0" xfId="0" applyNumberFormat="1" applyFont="1" applyBorder="1" applyAlignment="1">
      <alignment vertical="center"/>
    </xf>
    <xf numFmtId="43" fontId="0" fillId="0" borderId="0" xfId="0" applyNumberFormat="1" applyFont="1" applyBorder="1" applyAlignment="1">
      <alignment vertical="center"/>
    </xf>
    <xf numFmtId="1" fontId="0" fillId="0" borderId="0" xfId="0" applyNumberFormat="1" applyFont="1" applyBorder="1" applyAlignment="1">
      <alignment vertical="center"/>
    </xf>
    <xf numFmtId="171" fontId="0" fillId="0" borderId="1" xfId="0" applyNumberFormat="1" applyFont="1" applyBorder="1" applyAlignment="1">
      <alignment vertical="center"/>
    </xf>
    <xf numFmtId="0" fontId="11" fillId="0" borderId="0" xfId="0" applyFont="1" applyAlignment="1">
      <alignment horizontal="center" vertical="center"/>
    </xf>
    <xf numFmtId="169" fontId="0" fillId="6" borderId="1" xfId="2" applyNumberFormat="1" applyFont="1" applyFill="1" applyBorder="1" applyAlignment="1">
      <alignment vertical="center"/>
    </xf>
    <xf numFmtId="169" fontId="11" fillId="6" borderId="1" xfId="2" applyNumberFormat="1" applyFont="1" applyFill="1" applyBorder="1" applyAlignment="1">
      <alignment vertical="center"/>
    </xf>
    <xf numFmtId="0" fontId="0" fillId="6" borderId="0" xfId="0" applyFont="1" applyFill="1" applyAlignment="1">
      <alignment vertical="center"/>
    </xf>
    <xf numFmtId="0" fontId="0" fillId="7" borderId="0" xfId="0" applyFont="1" applyFill="1" applyAlignment="1">
      <alignment vertical="center"/>
    </xf>
    <xf numFmtId="1" fontId="0" fillId="0" borderId="1" xfId="0" applyNumberFormat="1" applyFont="1" applyBorder="1" applyAlignment="1">
      <alignment vertical="center"/>
    </xf>
    <xf numFmtId="1" fontId="0" fillId="0" borderId="0" xfId="0" applyNumberFormat="1" applyFont="1" applyAlignment="1">
      <alignment vertical="center"/>
    </xf>
    <xf numFmtId="1" fontId="11" fillId="0" borderId="1" xfId="0" applyNumberFormat="1" applyFont="1" applyBorder="1" applyAlignment="1">
      <alignment vertical="center"/>
    </xf>
    <xf numFmtId="0" fontId="0" fillId="7" borderId="1" xfId="0" applyFont="1" applyFill="1" applyBorder="1" applyAlignment="1">
      <alignment vertical="center"/>
    </xf>
    <xf numFmtId="9" fontId="0" fillId="0" borderId="1" xfId="0" applyNumberFormat="1" applyFont="1" applyFill="1" applyBorder="1" applyAlignment="1">
      <alignment vertical="center"/>
    </xf>
    <xf numFmtId="43" fontId="0" fillId="0" borderId="1" xfId="0" applyNumberFormat="1" applyFont="1" applyBorder="1" applyAlignment="1">
      <alignment vertical="center"/>
    </xf>
    <xf numFmtId="169" fontId="0" fillId="0" borderId="0" xfId="2" applyNumberFormat="1" applyFont="1" applyBorder="1" applyAlignment="1">
      <alignment vertical="center"/>
    </xf>
    <xf numFmtId="9" fontId="11" fillId="0" borderId="0" xfId="0" applyNumberFormat="1" applyFont="1" applyAlignment="1">
      <alignment horizontal="center" vertical="center"/>
    </xf>
    <xf numFmtId="10" fontId="11" fillId="0" borderId="0" xfId="0" applyNumberFormat="1" applyFont="1" applyAlignment="1">
      <alignment horizontal="center" vertical="center"/>
    </xf>
    <xf numFmtId="9" fontId="0" fillId="0" borderId="1" xfId="1" applyFont="1" applyBorder="1" applyAlignment="1">
      <alignment vertical="center"/>
    </xf>
    <xf numFmtId="169" fontId="0" fillId="0" borderId="15" xfId="2" applyNumberFormat="1" applyFont="1" applyBorder="1" applyAlignment="1">
      <alignment vertical="center"/>
    </xf>
    <xf numFmtId="169" fontId="0" fillId="0" borderId="1" xfId="2" applyNumberFormat="1" applyFont="1" applyFill="1" applyBorder="1" applyAlignment="1">
      <alignment vertical="center"/>
    </xf>
    <xf numFmtId="9" fontId="0" fillId="0" borderId="1" xfId="0" applyNumberFormat="1" applyFont="1" applyBorder="1" applyAlignment="1">
      <alignment vertical="center"/>
    </xf>
    <xf numFmtId="171" fontId="0" fillId="0" borderId="1" xfId="0" applyNumberFormat="1" applyFont="1" applyFill="1" applyBorder="1" applyAlignment="1">
      <alignment vertical="center"/>
    </xf>
    <xf numFmtId="171" fontId="0" fillId="0" borderId="0" xfId="0" applyNumberFormat="1" applyFont="1" applyAlignment="1">
      <alignment vertical="center"/>
    </xf>
    <xf numFmtId="167" fontId="11" fillId="0" borderId="1" xfId="3" applyNumberFormat="1" applyFont="1" applyBorder="1" applyAlignment="1">
      <alignment vertical="center"/>
    </xf>
    <xf numFmtId="0" fontId="11" fillId="7" borderId="1" xfId="0" applyFont="1" applyFill="1" applyBorder="1" applyAlignment="1">
      <alignment vertical="center"/>
    </xf>
    <xf numFmtId="9" fontId="11" fillId="7" borderId="1" xfId="1" applyFont="1" applyFill="1" applyBorder="1" applyAlignment="1">
      <alignment vertical="center"/>
    </xf>
    <xf numFmtId="167" fontId="11" fillId="7" borderId="1" xfId="3" applyNumberFormat="1" applyFont="1" applyFill="1" applyBorder="1" applyAlignment="1">
      <alignment vertical="center"/>
    </xf>
    <xf numFmtId="167" fontId="0" fillId="0" borderId="1" xfId="1" applyNumberFormat="1" applyFont="1" applyBorder="1" applyAlignment="1">
      <alignment vertical="center"/>
    </xf>
    <xf numFmtId="0" fontId="0" fillId="0" borderId="0" xfId="0" applyFont="1" applyAlignment="1">
      <alignment horizontal="center" vertical="center"/>
    </xf>
    <xf numFmtId="43" fontId="0" fillId="0" borderId="1" xfId="0" applyNumberFormat="1" applyFont="1" applyFill="1" applyBorder="1" applyAlignment="1">
      <alignment vertical="center"/>
    </xf>
    <xf numFmtId="0" fontId="11" fillId="0" borderId="0" xfId="0" applyFont="1" applyBorder="1" applyAlignment="1">
      <alignment horizontal="center" vertical="center"/>
    </xf>
    <xf numFmtId="9" fontId="11" fillId="0" borderId="0" xfId="0" applyNumberFormat="1" applyFont="1" applyBorder="1" applyAlignment="1">
      <alignment horizontal="center" vertical="center"/>
    </xf>
    <xf numFmtId="10" fontId="11" fillId="0" borderId="0" xfId="0" applyNumberFormat="1" applyFont="1" applyBorder="1" applyAlignment="1">
      <alignment horizontal="center" vertical="center"/>
    </xf>
    <xf numFmtId="167" fontId="0" fillId="0" borderId="1" xfId="0" applyNumberFormat="1" applyFont="1" applyBorder="1" applyAlignment="1">
      <alignment vertical="center"/>
    </xf>
    <xf numFmtId="171" fontId="11" fillId="6" borderId="1" xfId="0" applyNumberFormat="1" applyFont="1" applyFill="1" applyBorder="1" applyAlignment="1">
      <alignment vertical="center"/>
    </xf>
    <xf numFmtId="167" fontId="11" fillId="0" borderId="1" xfId="0" applyNumberFormat="1" applyFont="1" applyBorder="1" applyAlignment="1">
      <alignment vertical="center"/>
    </xf>
    <xf numFmtId="0" fontId="10" fillId="0" borderId="0" xfId="0" applyFont="1" applyFill="1" applyBorder="1" applyAlignment="1">
      <alignment horizontal="center" vertical="center"/>
    </xf>
    <xf numFmtId="0" fontId="0" fillId="0" borderId="0" xfId="0" applyNumberFormat="1" applyFont="1" applyFill="1" applyBorder="1" applyAlignment="1">
      <alignment vertical="center"/>
    </xf>
    <xf numFmtId="1" fontId="0" fillId="0" borderId="0" xfId="0" applyNumberFormat="1" applyFont="1" applyFill="1" applyBorder="1" applyAlignment="1">
      <alignment vertical="center"/>
    </xf>
    <xf numFmtId="0" fontId="11" fillId="0" borderId="0" xfId="0" applyFont="1" applyFill="1" applyBorder="1" applyAlignment="1">
      <alignment vertical="center"/>
    </xf>
    <xf numFmtId="169" fontId="11" fillId="0" borderId="0" xfId="2" applyNumberFormat="1" applyFont="1" applyFill="1" applyBorder="1" applyAlignment="1">
      <alignment vertical="center"/>
    </xf>
    <xf numFmtId="1" fontId="11" fillId="6" borderId="1" xfId="0" applyNumberFormat="1" applyFont="1" applyFill="1" applyBorder="1" applyAlignment="1">
      <alignment vertical="center"/>
    </xf>
    <xf numFmtId="1" fontId="11" fillId="0" borderId="1" xfId="0" applyNumberFormat="1" applyFont="1" applyFill="1" applyBorder="1" applyAlignment="1">
      <alignment vertical="center"/>
    </xf>
    <xf numFmtId="9" fontId="0" fillId="0" borderId="0" xfId="1" applyFont="1" applyAlignment="1">
      <alignment vertical="center"/>
    </xf>
    <xf numFmtId="170" fontId="0" fillId="0" borderId="0" xfId="0" applyNumberFormat="1" applyFont="1" applyAlignment="1">
      <alignment vertical="center"/>
    </xf>
    <xf numFmtId="0" fontId="11" fillId="0" borderId="11" xfId="0" applyFont="1" applyFill="1" applyBorder="1" applyAlignment="1">
      <alignment vertical="center" wrapText="1"/>
    </xf>
    <xf numFmtId="9" fontId="0" fillId="6" borderId="1" xfId="1" applyFont="1" applyFill="1" applyBorder="1" applyAlignment="1">
      <alignment vertical="center"/>
    </xf>
    <xf numFmtId="0" fontId="0" fillId="0" borderId="1" xfId="1" applyNumberFormat="1" applyFont="1" applyFill="1" applyBorder="1" applyAlignment="1">
      <alignment vertical="center"/>
    </xf>
    <xf numFmtId="9" fontId="10" fillId="7" borderId="1" xfId="0" applyNumberFormat="1" applyFont="1" applyFill="1" applyBorder="1" applyAlignment="1">
      <alignment vertical="center"/>
    </xf>
    <xf numFmtId="9" fontId="10" fillId="7" borderId="1" xfId="0" applyNumberFormat="1" applyFont="1" applyFill="1" applyBorder="1" applyAlignment="1">
      <alignment horizontal="center" vertical="center"/>
    </xf>
    <xf numFmtId="0" fontId="0" fillId="0" borderId="0" xfId="0" applyFont="1" applyFill="1" applyAlignment="1">
      <alignment vertical="center"/>
    </xf>
    <xf numFmtId="9" fontId="12" fillId="7" borderId="1" xfId="0" applyNumberFormat="1" applyFont="1" applyFill="1" applyBorder="1" applyAlignment="1">
      <alignment vertical="center"/>
    </xf>
    <xf numFmtId="0" fontId="0" fillId="0" borderId="1" xfId="0" applyNumberFormat="1" applyFont="1" applyBorder="1" applyAlignment="1">
      <alignment vertical="center"/>
    </xf>
    <xf numFmtId="0" fontId="26" fillId="0" borderId="0" xfId="0" applyFont="1" applyAlignment="1">
      <alignment vertical="center"/>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0" fontId="26" fillId="0" borderId="1" xfId="0" applyFont="1" applyBorder="1" applyAlignment="1">
      <alignment vertical="center"/>
    </xf>
    <xf numFmtId="4" fontId="26" fillId="0" borderId="1" xfId="0" applyNumberFormat="1" applyFont="1" applyBorder="1" applyAlignment="1">
      <alignment vertical="center"/>
    </xf>
    <xf numFmtId="0" fontId="25" fillId="0" borderId="1" xfId="0" applyFont="1" applyBorder="1" applyAlignment="1">
      <alignment vertical="center"/>
    </xf>
    <xf numFmtId="164" fontId="26" fillId="0" borderId="1" xfId="2" applyNumberFormat="1" applyFont="1" applyBorder="1" applyAlignment="1">
      <alignment vertical="center"/>
    </xf>
    <xf numFmtId="10" fontId="26" fillId="0" borderId="1" xfId="0" applyNumberFormat="1" applyFont="1" applyBorder="1" applyAlignment="1">
      <alignment vertical="center"/>
    </xf>
    <xf numFmtId="0" fontId="26" fillId="0" borderId="1" xfId="0" quotePrefix="1" applyFont="1" applyBorder="1" applyAlignment="1">
      <alignment horizontal="left" vertical="center"/>
    </xf>
    <xf numFmtId="4" fontId="27" fillId="0" borderId="1" xfId="0" applyNumberFormat="1" applyFont="1" applyBorder="1" applyAlignment="1">
      <alignment vertical="center"/>
    </xf>
    <xf numFmtId="4" fontId="0" fillId="0" borderId="1" xfId="0" applyNumberFormat="1" applyFont="1" applyBorder="1" applyAlignment="1">
      <alignment vertical="center"/>
    </xf>
    <xf numFmtId="4" fontId="0" fillId="0" borderId="0" xfId="0" applyNumberFormat="1" applyFont="1" applyAlignment="1">
      <alignment vertical="center"/>
    </xf>
    <xf numFmtId="0" fontId="26" fillId="0" borderId="0" xfId="0" applyFont="1" applyBorder="1" applyAlignment="1">
      <alignment vertical="center"/>
    </xf>
    <xf numFmtId="0" fontId="12" fillId="5" borderId="1" xfId="0" applyFont="1" applyFill="1" applyBorder="1" applyAlignment="1">
      <alignment vertical="center"/>
    </xf>
    <xf numFmtId="10" fontId="11" fillId="0" borderId="0" xfId="1" applyNumberFormat="1" applyFont="1" applyAlignment="1">
      <alignment vertical="center"/>
    </xf>
    <xf numFmtId="3" fontId="0" fillId="0" borderId="1" xfId="0" applyNumberFormat="1" applyFont="1" applyBorder="1" applyAlignment="1">
      <alignment vertical="center"/>
    </xf>
    <xf numFmtId="0" fontId="27" fillId="0" borderId="1" xfId="0" applyFont="1" applyBorder="1" applyAlignment="1">
      <alignment vertical="center"/>
    </xf>
    <xf numFmtId="169" fontId="0" fillId="0" borderId="0" xfId="2" applyNumberFormat="1" applyFont="1" applyAlignment="1">
      <alignment vertical="center"/>
    </xf>
    <xf numFmtId="0" fontId="27" fillId="0" borderId="0" xfId="0" applyFont="1" applyAlignment="1">
      <alignment vertical="center"/>
    </xf>
    <xf numFmtId="164" fontId="0" fillId="0" borderId="0" xfId="0" applyNumberFormat="1" applyFont="1" applyAlignment="1">
      <alignment vertical="center"/>
    </xf>
    <xf numFmtId="0" fontId="26" fillId="0" borderId="1" xfId="0" applyFont="1" applyBorder="1" applyAlignment="1">
      <alignment horizontal="center" vertical="center"/>
    </xf>
    <xf numFmtId="0" fontId="27" fillId="0" borderId="1" xfId="0" applyFont="1" applyFill="1" applyBorder="1" applyAlignment="1">
      <alignment horizontal="center" vertical="center"/>
    </xf>
    <xf numFmtId="169" fontId="26" fillId="0" borderId="1" xfId="2" applyNumberFormat="1" applyFont="1" applyBorder="1" applyAlignment="1">
      <alignment horizontal="center" vertical="center"/>
    </xf>
    <xf numFmtId="2" fontId="11" fillId="0" borderId="1" xfId="0" applyNumberFormat="1" applyFont="1" applyBorder="1" applyAlignment="1">
      <alignment vertical="center"/>
    </xf>
    <xf numFmtId="0" fontId="11" fillId="0" borderId="0" xfId="0" applyFont="1" applyFill="1" applyAlignment="1">
      <alignment vertical="center"/>
    </xf>
    <xf numFmtId="2" fontId="11" fillId="0" borderId="0" xfId="0" applyNumberFormat="1" applyFont="1" applyAlignment="1">
      <alignment vertical="center"/>
    </xf>
    <xf numFmtId="169" fontId="11" fillId="0" borderId="1" xfId="0" applyNumberFormat="1" applyFont="1" applyBorder="1" applyAlignment="1">
      <alignment vertical="center"/>
    </xf>
    <xf numFmtId="0" fontId="26" fillId="0" borderId="1" xfId="0" applyFont="1" applyFill="1" applyBorder="1" applyAlignment="1">
      <alignment vertical="center"/>
    </xf>
    <xf numFmtId="169" fontId="26" fillId="0" borderId="1" xfId="2" applyNumberFormat="1" applyFont="1" applyFill="1" applyBorder="1" applyAlignment="1">
      <alignment vertical="center"/>
    </xf>
    <xf numFmtId="9" fontId="11" fillId="7" borderId="0" xfId="0" applyNumberFormat="1" applyFont="1" applyFill="1" applyAlignment="1">
      <alignment vertical="center"/>
    </xf>
    <xf numFmtId="0" fontId="25" fillId="0" borderId="1" xfId="0" applyFont="1" applyFill="1" applyBorder="1" applyAlignment="1">
      <alignment vertical="center"/>
    </xf>
    <xf numFmtId="169" fontId="25" fillId="0" borderId="1" xfId="2" applyNumberFormat="1" applyFont="1" applyFill="1" applyBorder="1" applyAlignment="1">
      <alignment vertical="center"/>
    </xf>
    <xf numFmtId="0" fontId="26" fillId="0" borderId="0" xfId="0" applyFont="1" applyFill="1" applyAlignment="1">
      <alignment vertical="center"/>
    </xf>
    <xf numFmtId="171" fontId="26" fillId="0" borderId="0" xfId="10" applyNumberFormat="1" applyFont="1" applyFill="1" applyAlignment="1">
      <alignment vertical="center"/>
    </xf>
    <xf numFmtId="171" fontId="26" fillId="0" borderId="1" xfId="10" applyNumberFormat="1" applyFont="1" applyFill="1" applyBorder="1" applyAlignment="1">
      <alignment vertical="center"/>
    </xf>
    <xf numFmtId="175" fontId="26" fillId="0" borderId="1" xfId="10" applyNumberFormat="1" applyFont="1" applyFill="1" applyBorder="1" applyAlignment="1">
      <alignment vertical="center"/>
    </xf>
    <xf numFmtId="43" fontId="26" fillId="0" borderId="1" xfId="10" applyFont="1" applyFill="1" applyBorder="1" applyAlignment="1">
      <alignment vertical="center"/>
    </xf>
    <xf numFmtId="164" fontId="25" fillId="0" borderId="1" xfId="10" applyNumberFormat="1" applyFont="1" applyFill="1" applyBorder="1" applyAlignment="1">
      <alignment vertical="center"/>
    </xf>
    <xf numFmtId="171" fontId="25" fillId="0" borderId="1" xfId="10" applyNumberFormat="1" applyFont="1" applyFill="1" applyBorder="1" applyAlignment="1">
      <alignment vertical="center"/>
    </xf>
    <xf numFmtId="0" fontId="30" fillId="0" borderId="0" xfId="0" applyFont="1" applyAlignment="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25" fillId="0" borderId="1" xfId="0" applyFont="1" applyFill="1" applyBorder="1" applyAlignment="1">
      <alignment vertical="center" wrapText="1"/>
    </xf>
    <xf numFmtId="169" fontId="26" fillId="0" borderId="1" xfId="3" applyNumberFormat="1" applyFont="1" applyFill="1" applyBorder="1" applyAlignment="1">
      <alignment vertical="center" wrapText="1"/>
    </xf>
    <xf numFmtId="0" fontId="26" fillId="0" borderId="1" xfId="0" applyFont="1" applyFill="1" applyBorder="1" applyAlignment="1">
      <alignment horizontal="left" vertical="center" wrapText="1"/>
    </xf>
    <xf numFmtId="169" fontId="25" fillId="0" borderId="1" xfId="3" applyNumberFormat="1" applyFont="1" applyFill="1" applyBorder="1" applyAlignment="1">
      <alignment vertical="center" wrapText="1"/>
    </xf>
    <xf numFmtId="0" fontId="26" fillId="0" borderId="1" xfId="0" applyFont="1" applyFill="1" applyBorder="1" applyAlignment="1">
      <alignment horizontal="right" vertical="center" wrapText="1"/>
    </xf>
    <xf numFmtId="167" fontId="26" fillId="0" borderId="1" xfId="3" applyNumberFormat="1" applyFont="1" applyFill="1" applyBorder="1" applyAlignment="1">
      <alignment vertical="center" wrapText="1"/>
    </xf>
    <xf numFmtId="169" fontId="26" fillId="0" borderId="1" xfId="2" applyNumberFormat="1" applyFont="1" applyFill="1" applyBorder="1" applyAlignment="1">
      <alignment vertical="center" wrapText="1"/>
    </xf>
    <xf numFmtId="0" fontId="25" fillId="0" borderId="1" xfId="0" applyFont="1" applyFill="1" applyBorder="1" applyAlignment="1">
      <alignment horizontal="right" vertical="center" wrapText="1"/>
    </xf>
    <xf numFmtId="169" fontId="26" fillId="4" borderId="1" xfId="3" applyNumberFormat="1" applyFont="1" applyFill="1" applyBorder="1" applyAlignment="1">
      <alignment vertical="center" wrapText="1"/>
    </xf>
    <xf numFmtId="169" fontId="25" fillId="0" borderId="1" xfId="0" applyNumberFormat="1" applyFont="1" applyFill="1" applyBorder="1" applyAlignment="1">
      <alignment vertical="center" wrapText="1"/>
    </xf>
    <xf numFmtId="169" fontId="26" fillId="0" borderId="1" xfId="0" applyNumberFormat="1" applyFont="1" applyFill="1" applyBorder="1" applyAlignment="1">
      <alignment vertical="center" wrapText="1"/>
    </xf>
    <xf numFmtId="0" fontId="25" fillId="0" borderId="1" xfId="0" applyFont="1" applyFill="1" applyBorder="1" applyAlignment="1">
      <alignment horizontal="left" vertical="center" wrapText="1"/>
    </xf>
    <xf numFmtId="0" fontId="10" fillId="2" borderId="14" xfId="0" applyFont="1" applyFill="1" applyBorder="1" applyAlignment="1">
      <alignment horizontal="center" vertical="center"/>
    </xf>
    <xf numFmtId="0" fontId="41" fillId="0" borderId="0" xfId="0" applyFont="1" applyAlignment="1">
      <alignment vertical="center"/>
    </xf>
    <xf numFmtId="0" fontId="27" fillId="6" borderId="0" xfId="0" applyFont="1" applyFill="1" applyAlignment="1">
      <alignment vertical="center"/>
    </xf>
    <xf numFmtId="0" fontId="16" fillId="6" borderId="1" xfId="0" applyFont="1" applyFill="1" applyBorder="1" applyAlignment="1">
      <alignment vertical="center"/>
    </xf>
    <xf numFmtId="0" fontId="16" fillId="5" borderId="1" xfId="0" applyFont="1" applyFill="1" applyBorder="1" applyAlignment="1">
      <alignment vertical="center"/>
    </xf>
    <xf numFmtId="0" fontId="27" fillId="6" borderId="1" xfId="0" applyFont="1" applyFill="1" applyBorder="1" applyAlignment="1">
      <alignment vertical="center"/>
    </xf>
    <xf numFmtId="2" fontId="27" fillId="6" borderId="1" xfId="0" applyNumberFormat="1" applyFont="1" applyFill="1" applyBorder="1" applyAlignment="1">
      <alignment vertical="center"/>
    </xf>
    <xf numFmtId="176" fontId="27" fillId="6" borderId="1" xfId="0" applyNumberFormat="1" applyFont="1" applyFill="1" applyBorder="1" applyAlignment="1">
      <alignment vertical="center"/>
    </xf>
    <xf numFmtId="2" fontId="16" fillId="6" borderId="1" xfId="0" applyNumberFormat="1" applyFont="1" applyFill="1" applyBorder="1" applyAlignment="1">
      <alignment vertical="center"/>
    </xf>
    <xf numFmtId="0" fontId="29" fillId="0" borderId="0" xfId="0" applyFont="1" applyAlignment="1">
      <alignment vertical="center"/>
    </xf>
    <xf numFmtId="165" fontId="0" fillId="0" borderId="0" xfId="0" applyNumberFormat="1" applyFont="1" applyAlignment="1">
      <alignment vertical="center"/>
    </xf>
    <xf numFmtId="174" fontId="0" fillId="0" borderId="0" xfId="0" applyNumberFormat="1" applyFont="1" applyAlignment="1">
      <alignment vertical="center"/>
    </xf>
    <xf numFmtId="0" fontId="10" fillId="2" borderId="1" xfId="0" applyFont="1" applyFill="1" applyBorder="1" applyAlignment="1">
      <alignment horizontal="right" vertical="center"/>
    </xf>
    <xf numFmtId="2" fontId="10" fillId="2" borderId="1" xfId="0" applyNumberFormat="1" applyFont="1" applyFill="1" applyBorder="1" applyAlignment="1">
      <alignment horizontal="right" vertical="center"/>
    </xf>
    <xf numFmtId="0" fontId="16" fillId="0" borderId="0" xfId="6" applyFont="1" applyFill="1" applyBorder="1" applyAlignment="1">
      <alignment horizontal="center" vertical="center"/>
    </xf>
    <xf numFmtId="0" fontId="10" fillId="2" borderId="1" xfId="8" applyFont="1" applyFill="1" applyBorder="1" applyAlignment="1" applyProtection="1">
      <alignment vertical="center"/>
    </xf>
    <xf numFmtId="0" fontId="25" fillId="2" borderId="1" xfId="0" applyFont="1" applyFill="1" applyBorder="1" applyAlignment="1">
      <alignment vertical="center"/>
    </xf>
    <xf numFmtId="0" fontId="25" fillId="0" borderId="1" xfId="0" applyFont="1" applyFill="1" applyBorder="1" applyAlignment="1">
      <alignment horizontal="center" vertical="center"/>
    </xf>
    <xf numFmtId="0" fontId="42" fillId="0" borderId="1" xfId="0" applyFont="1" applyFill="1" applyBorder="1" applyAlignment="1">
      <alignment vertical="center"/>
    </xf>
    <xf numFmtId="0" fontId="43" fillId="0" borderId="1" xfId="0" applyFont="1" applyFill="1" applyBorder="1" applyAlignment="1">
      <alignment horizontal="center" vertical="center"/>
    </xf>
    <xf numFmtId="0" fontId="0" fillId="0" borderId="1" xfId="0" applyFont="1" applyFill="1" applyBorder="1" applyAlignment="1">
      <alignment horizontal="left" vertical="center"/>
    </xf>
    <xf numFmtId="0" fontId="25" fillId="0" borderId="1" xfId="0" applyFont="1" applyFill="1" applyBorder="1" applyAlignment="1">
      <alignment horizontal="left" vertical="center"/>
    </xf>
    <xf numFmtId="167" fontId="27" fillId="0" borderId="1" xfId="0" applyNumberFormat="1" applyFont="1" applyFill="1" applyBorder="1" applyAlignment="1">
      <alignment vertical="center"/>
    </xf>
    <xf numFmtId="0" fontId="11" fillId="0" borderId="1" xfId="0" applyFont="1" applyFill="1" applyBorder="1" applyAlignment="1">
      <alignment horizontal="left" vertical="center"/>
    </xf>
    <xf numFmtId="167" fontId="16" fillId="0" borderId="1" xfId="0" applyNumberFormat="1" applyFont="1" applyFill="1" applyBorder="1" applyAlignment="1">
      <alignment vertical="center"/>
    </xf>
    <xf numFmtId="167" fontId="27" fillId="0" borderId="0" xfId="0" applyNumberFormat="1" applyFont="1" applyFill="1" applyBorder="1" applyAlignment="1">
      <alignment vertical="center"/>
    </xf>
    <xf numFmtId="0" fontId="25" fillId="3" borderId="0" xfId="0" applyFont="1" applyFill="1" applyBorder="1" applyAlignment="1">
      <alignment horizontal="left" vertical="center" wrapText="1"/>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Border="1" applyAlignment="1">
      <alignment vertical="center" wrapText="1"/>
    </xf>
    <xf numFmtId="10" fontId="0" fillId="0" borderId="0" xfId="0" applyNumberFormat="1" applyFont="1" applyBorder="1" applyAlignment="1">
      <alignment vertical="center"/>
    </xf>
    <xf numFmtId="0" fontId="0" fillId="0" borderId="0" xfId="0" applyFont="1" applyFill="1" applyBorder="1" applyAlignment="1">
      <alignment vertical="center" wrapText="1"/>
    </xf>
    <xf numFmtId="10" fontId="26" fillId="0" borderId="0" xfId="1" applyNumberFormat="1" applyFont="1" applyBorder="1" applyAlignment="1">
      <alignment vertical="center"/>
    </xf>
    <xf numFmtId="9" fontId="0" fillId="0" borderId="0" xfId="0" applyNumberFormat="1" applyFont="1" applyFill="1" applyBorder="1" applyAlignment="1">
      <alignment vertical="center"/>
    </xf>
    <xf numFmtId="0" fontId="44" fillId="0" borderId="0" xfId="8" applyFont="1" applyFill="1" applyBorder="1" applyAlignment="1" applyProtection="1">
      <alignment vertical="center"/>
    </xf>
    <xf numFmtId="167" fontId="12" fillId="5" borderId="1" xfId="3" applyNumberFormat="1" applyFont="1" applyFill="1" applyBorder="1" applyAlignment="1">
      <alignment horizontal="center" vertical="center"/>
    </xf>
    <xf numFmtId="167" fontId="27" fillId="0" borderId="0" xfId="3" applyNumberFormat="1" applyFont="1" applyFill="1" applyBorder="1" applyAlignment="1">
      <alignment vertical="center"/>
    </xf>
    <xf numFmtId="167" fontId="27" fillId="0" borderId="1" xfId="3" applyNumberFormat="1" applyFont="1" applyFill="1" applyBorder="1" applyAlignment="1">
      <alignment vertical="center"/>
    </xf>
    <xf numFmtId="167" fontId="16" fillId="0" borderId="1" xfId="0" applyNumberFormat="1" applyFont="1" applyBorder="1" applyAlignment="1">
      <alignment vertical="center"/>
    </xf>
    <xf numFmtId="167" fontId="16" fillId="0" borderId="0" xfId="0" applyNumberFormat="1" applyFont="1" applyAlignment="1">
      <alignment vertical="center"/>
    </xf>
    <xf numFmtId="38" fontId="16" fillId="0" borderId="0" xfId="0" applyNumberFormat="1" applyFont="1" applyFill="1" applyBorder="1" applyAlignment="1">
      <alignment horizontal="left" vertical="center"/>
    </xf>
    <xf numFmtId="0" fontId="16" fillId="0" borderId="0" xfId="6" applyFont="1" applyFill="1" applyBorder="1" applyAlignment="1">
      <alignment vertical="center"/>
    </xf>
    <xf numFmtId="0" fontId="16" fillId="0" borderId="0" xfId="0" applyFont="1" applyFill="1" applyBorder="1" applyAlignment="1">
      <alignment vertical="center"/>
    </xf>
    <xf numFmtId="0" fontId="26" fillId="0" borderId="11" xfId="0" applyFont="1" applyBorder="1" applyAlignment="1">
      <alignment vertical="center"/>
    </xf>
    <xf numFmtId="0" fontId="16" fillId="0" borderId="11" xfId="0" applyFont="1" applyBorder="1" applyAlignment="1">
      <alignment vertical="center"/>
    </xf>
    <xf numFmtId="9" fontId="16" fillId="7" borderId="0" xfId="1" applyFont="1" applyFill="1" applyBorder="1" applyAlignment="1">
      <alignment vertical="center"/>
    </xf>
    <xf numFmtId="0" fontId="27" fillId="0" borderId="0" xfId="0" applyFont="1" applyFill="1" applyAlignment="1">
      <alignment vertical="center"/>
    </xf>
    <xf numFmtId="43" fontId="27" fillId="0" borderId="0" xfId="0" applyNumberFormat="1" applyFont="1" applyFill="1" applyAlignment="1">
      <alignment vertical="center"/>
    </xf>
    <xf numFmtId="0" fontId="27" fillId="0" borderId="0" xfId="0" applyFont="1" applyFill="1" applyAlignment="1">
      <alignment horizontal="center" vertical="center"/>
    </xf>
    <xf numFmtId="0" fontId="27" fillId="0" borderId="1" xfId="0" applyFont="1" applyFill="1" applyBorder="1" applyAlignment="1">
      <alignment vertical="center"/>
    </xf>
    <xf numFmtId="0" fontId="16" fillId="0" borderId="1" xfId="0" applyFont="1" applyFill="1" applyBorder="1" applyAlignment="1">
      <alignment vertical="center"/>
    </xf>
    <xf numFmtId="164" fontId="27" fillId="0" borderId="0" xfId="2" applyFont="1" applyFill="1" applyAlignment="1">
      <alignment vertical="center"/>
    </xf>
    <xf numFmtId="0" fontId="16" fillId="0" borderId="0" xfId="0" applyFont="1" applyFill="1" applyAlignment="1">
      <alignment vertical="center"/>
    </xf>
    <xf numFmtId="167" fontId="27" fillId="0" borderId="0" xfId="0" applyNumberFormat="1" applyFont="1" applyFill="1" applyAlignment="1">
      <alignment vertical="center"/>
    </xf>
    <xf numFmtId="166" fontId="27" fillId="0" borderId="0" xfId="0" applyNumberFormat="1" applyFont="1" applyFill="1" applyAlignment="1">
      <alignment vertical="center"/>
    </xf>
    <xf numFmtId="166" fontId="27" fillId="0" borderId="0" xfId="3" applyFont="1" applyFill="1" applyAlignment="1">
      <alignment vertical="center"/>
    </xf>
    <xf numFmtId="169" fontId="0" fillId="0" borderId="0" xfId="2" applyNumberFormat="1" applyFont="1" applyAlignment="1">
      <alignment horizontal="left"/>
    </xf>
    <xf numFmtId="9" fontId="0" fillId="7" borderId="0" xfId="0" applyNumberFormat="1" applyFont="1" applyFill="1" applyAlignment="1">
      <alignment horizontal="left"/>
    </xf>
    <xf numFmtId="0" fontId="0" fillId="7" borderId="0" xfId="0" applyNumberFormat="1" applyFont="1" applyFill="1" applyAlignment="1">
      <alignment horizontal="left"/>
    </xf>
    <xf numFmtId="0" fontId="11" fillId="0" borderId="0" xfId="0" applyFont="1" applyAlignment="1">
      <alignment horizontal="left" vertical="center" wrapText="1"/>
    </xf>
    <xf numFmtId="0" fontId="11" fillId="0" borderId="13" xfId="0" applyFont="1" applyBorder="1" applyAlignment="1">
      <alignment horizontal="center" vertical="center" wrapText="1"/>
    </xf>
    <xf numFmtId="0" fontId="21" fillId="8"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0"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2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21" xfId="0" applyFont="1" applyBorder="1" applyAlignment="1">
      <alignment horizontal="left" vertical="center" wrapText="1"/>
    </xf>
    <xf numFmtId="0" fontId="0" fillId="0" borderId="16" xfId="0" applyFont="1" applyBorder="1" applyAlignment="1">
      <alignment horizontal="left" vertical="center" wrapText="1"/>
    </xf>
    <xf numFmtId="0" fontId="11" fillId="9" borderId="1" xfId="0"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21" xfId="0" applyFont="1" applyBorder="1" applyAlignment="1">
      <alignment horizontal="left" vertical="center" wrapText="1"/>
    </xf>
    <xf numFmtId="0" fontId="11" fillId="0" borderId="16" xfId="0" applyFont="1" applyBorder="1" applyAlignment="1">
      <alignment horizontal="left"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1" fillId="0" borderId="0" xfId="0" applyFont="1" applyBorder="1" applyAlignment="1">
      <alignment horizontal="center" vertical="center"/>
    </xf>
    <xf numFmtId="0" fontId="15" fillId="0" borderId="1" xfId="0" applyFont="1" applyBorder="1" applyAlignment="1">
      <alignment horizontal="center" vertical="center" wrapText="1"/>
    </xf>
    <xf numFmtId="0" fontId="11"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6" applyFont="1" applyFill="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0" xfId="0" applyFont="1" applyAlignment="1">
      <alignment horizontal="center" vertical="center" wrapText="1"/>
    </xf>
    <xf numFmtId="0" fontId="16" fillId="6" borderId="13" xfId="0" applyFont="1" applyFill="1" applyBorder="1" applyAlignment="1">
      <alignment horizontal="center" vertical="center"/>
    </xf>
    <xf numFmtId="0" fontId="16" fillId="6" borderId="0" xfId="0" applyFont="1" applyFill="1" applyAlignment="1">
      <alignment horizontal="center" vertical="center"/>
    </xf>
    <xf numFmtId="0" fontId="29" fillId="0" borderId="0" xfId="0" applyFont="1" applyAlignment="1">
      <alignment horizontal="center" vertical="center" wrapText="1"/>
    </xf>
    <xf numFmtId="0" fontId="27" fillId="0" borderId="0" xfId="0" applyFont="1" applyAlignment="1">
      <alignment horizontal="center" vertical="center" wrapText="1"/>
    </xf>
    <xf numFmtId="0" fontId="13" fillId="2" borderId="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40" fillId="0" borderId="0" xfId="0" applyFont="1" applyAlignment="1">
      <alignment horizontal="center" vertical="center" wrapText="1"/>
    </xf>
    <xf numFmtId="0" fontId="11" fillId="0" borderId="17" xfId="0" applyFont="1" applyBorder="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25" fillId="0" borderId="1" xfId="0" applyFont="1" applyFill="1" applyBorder="1" applyAlignment="1">
      <alignment horizontal="center" vertical="center" wrapText="1"/>
    </xf>
    <xf numFmtId="0" fontId="15" fillId="0" borderId="0" xfId="0" applyFont="1" applyAlignment="1">
      <alignment horizontal="center" vertical="center" wrapText="1"/>
    </xf>
    <xf numFmtId="0" fontId="30" fillId="0" borderId="0" xfId="0" applyFont="1" applyAlignment="1">
      <alignment horizontal="center" vertical="center" wrapText="1"/>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4" fontId="26" fillId="0" borderId="1" xfId="0" applyNumberFormat="1" applyFont="1" applyBorder="1" applyAlignment="1">
      <alignment horizontal="center" vertical="center"/>
    </xf>
    <xf numFmtId="4" fontId="26" fillId="0" borderId="0" xfId="0" applyNumberFormat="1" applyFont="1" applyBorder="1" applyAlignment="1">
      <alignment horizontal="center" vertical="center"/>
    </xf>
    <xf numFmtId="0" fontId="29" fillId="0" borderId="0" xfId="0" applyFont="1" applyAlignment="1">
      <alignment horizontal="center" vertical="center"/>
    </xf>
    <xf numFmtId="2" fontId="0" fillId="0" borderId="1" xfId="2" applyNumberFormat="1" applyFont="1" applyBorder="1" applyAlignment="1">
      <alignment horizontal="center" vertical="center"/>
    </xf>
    <xf numFmtId="10" fontId="11" fillId="0" borderId="1" xfId="1" applyNumberFormat="1" applyFont="1" applyBorder="1" applyAlignment="1">
      <alignment horizontal="center" vertical="center"/>
    </xf>
    <xf numFmtId="0" fontId="25" fillId="0" borderId="0" xfId="0" applyFont="1" applyAlignment="1">
      <alignment horizontal="center" vertical="center"/>
    </xf>
    <xf numFmtId="0" fontId="16" fillId="0" borderId="0" xfId="8" applyFont="1" applyAlignment="1" applyProtection="1">
      <alignment horizontal="center" vertical="center" wrapText="1"/>
    </xf>
    <xf numFmtId="0" fontId="28" fillId="0" borderId="0" xfId="0" applyFont="1" applyAlignment="1">
      <alignment horizontal="center" vertical="center" wrapText="1"/>
    </xf>
    <xf numFmtId="0" fontId="0" fillId="0" borderId="22" xfId="0" applyFont="1" applyBorder="1" applyAlignment="1">
      <alignment horizontal="center" vertical="center"/>
    </xf>
    <xf numFmtId="0" fontId="12" fillId="5" borderId="20" xfId="0" applyFont="1" applyFill="1" applyBorder="1" applyAlignment="1">
      <alignment horizontal="left" vertical="center"/>
    </xf>
    <xf numFmtId="0" fontId="12" fillId="5" borderId="14" xfId="0" applyFont="1" applyFill="1" applyBorder="1" applyAlignment="1">
      <alignment horizontal="left" vertical="center"/>
    </xf>
    <xf numFmtId="0" fontId="0" fillId="0" borderId="0" xfId="0" applyFont="1" applyAlignment="1">
      <alignment horizontal="center" vertical="center"/>
    </xf>
    <xf numFmtId="0" fontId="0" fillId="0" borderId="20" xfId="0" applyFont="1" applyBorder="1" applyAlignment="1">
      <alignment horizontal="center" vertical="center"/>
    </xf>
    <xf numFmtId="0" fontId="0" fillId="0" borderId="2" xfId="0" applyFont="1" applyBorder="1" applyAlignment="1">
      <alignment horizontal="center" vertical="center"/>
    </xf>
    <xf numFmtId="0" fontId="0"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xf>
    <xf numFmtId="0" fontId="10" fillId="5" borderId="20" xfId="0" applyFont="1" applyFill="1" applyBorder="1" applyAlignment="1">
      <alignment vertical="center"/>
    </xf>
    <xf numFmtId="0" fontId="10" fillId="5" borderId="14" xfId="0" applyFont="1" applyFill="1" applyBorder="1" applyAlignment="1">
      <alignment vertical="center"/>
    </xf>
    <xf numFmtId="0" fontId="16" fillId="0" borderId="15"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6" xfId="0" applyFont="1" applyFill="1" applyBorder="1" applyAlignment="1">
      <alignment horizontal="center" vertical="center"/>
    </xf>
    <xf numFmtId="0" fontId="10" fillId="5" borderId="20" xfId="0" applyFont="1" applyFill="1" applyBorder="1" applyAlignment="1">
      <alignment horizontal="left" vertical="center"/>
    </xf>
    <xf numFmtId="0" fontId="10" fillId="5" borderId="14" xfId="0" applyFont="1" applyFill="1" applyBorder="1" applyAlignment="1">
      <alignment horizontal="left" vertical="center"/>
    </xf>
    <xf numFmtId="0" fontId="5" fillId="0" borderId="15" xfId="0" applyFont="1" applyFill="1" applyBorder="1" applyAlignment="1">
      <alignment horizontal="center"/>
    </xf>
    <xf numFmtId="0" fontId="5" fillId="0" borderId="21" xfId="0" applyFont="1" applyFill="1" applyBorder="1" applyAlignment="1">
      <alignment horizontal="center"/>
    </xf>
    <xf numFmtId="0" fontId="5" fillId="0" borderId="16" xfId="0" applyFont="1" applyFill="1" applyBorder="1" applyAlignment="1">
      <alignment horizontal="center"/>
    </xf>
    <xf numFmtId="0" fontId="9" fillId="5" borderId="20" xfId="0" applyFont="1" applyFill="1" applyBorder="1" applyAlignment="1">
      <alignment horizontal="left" vertical="center"/>
    </xf>
    <xf numFmtId="0" fontId="9" fillId="5" borderId="14" xfId="0" applyFont="1" applyFill="1" applyBorder="1" applyAlignment="1">
      <alignment horizontal="left" vertical="center"/>
    </xf>
    <xf numFmtId="0" fontId="7" fillId="0" borderId="13" xfId="0" applyFont="1" applyBorder="1" applyAlignment="1">
      <alignment horizontal="center"/>
    </xf>
    <xf numFmtId="0" fontId="7" fillId="0" borderId="0" xfId="0" applyFont="1" applyAlignment="1">
      <alignment horizont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lignment horizontal="center"/>
    </xf>
    <xf numFmtId="0" fontId="7" fillId="0" borderId="15" xfId="0" applyFont="1" applyBorder="1" applyAlignment="1">
      <alignment horizontal="center"/>
    </xf>
    <xf numFmtId="0" fontId="7" fillId="0" borderId="21" xfId="0" applyFont="1" applyBorder="1" applyAlignment="1">
      <alignment horizontal="center"/>
    </xf>
    <xf numFmtId="0" fontId="7" fillId="0" borderId="16" xfId="0" applyFont="1" applyBorder="1" applyAlignment="1">
      <alignment horizontal="center"/>
    </xf>
    <xf numFmtId="0" fontId="8" fillId="5" borderId="20" xfId="0" applyFont="1" applyFill="1" applyBorder="1" applyAlignment="1">
      <alignment vertical="center"/>
    </xf>
    <xf numFmtId="0" fontId="8" fillId="5" borderId="14" xfId="0" applyFont="1" applyFill="1" applyBorder="1" applyAlignment="1">
      <alignment vertical="center"/>
    </xf>
    <xf numFmtId="0" fontId="8" fillId="5" borderId="20" xfId="0" applyFont="1" applyFill="1" applyBorder="1" applyAlignment="1">
      <alignment horizontal="left" vertical="center"/>
    </xf>
    <xf numFmtId="0" fontId="8" fillId="5" borderId="14" xfId="0" applyFont="1" applyFill="1" applyBorder="1" applyAlignment="1">
      <alignment horizontal="left" vertical="center"/>
    </xf>
    <xf numFmtId="0" fontId="11" fillId="0" borderId="0" xfId="0" applyFont="1" applyFill="1" applyBorder="1" applyAlignment="1">
      <alignment horizontal="center" vertical="center"/>
    </xf>
    <xf numFmtId="0" fontId="0" fillId="0" borderId="27" xfId="0" applyFont="1" applyBorder="1" applyAlignment="1">
      <alignment horizontal="left" vertical="center" wrapText="1"/>
    </xf>
    <xf numFmtId="0" fontId="0" fillId="0" borderId="29" xfId="0" applyFont="1" applyBorder="1" applyAlignment="1">
      <alignment horizontal="left" vertical="center" wrapText="1"/>
    </xf>
    <xf numFmtId="0" fontId="0" fillId="0" borderId="9" xfId="0" applyFont="1" applyBorder="1" applyAlignment="1">
      <alignment horizontal="left" vertical="center" wrapText="1"/>
    </xf>
    <xf numFmtId="0" fontId="14" fillId="0" borderId="27" xfId="0" applyFont="1" applyBorder="1" applyAlignment="1">
      <alignment horizontal="left" vertical="center" wrapText="1"/>
    </xf>
    <xf numFmtId="0" fontId="14" fillId="0" borderId="29" xfId="0" applyFont="1" applyBorder="1" applyAlignment="1">
      <alignment horizontal="left" vertical="center" wrapText="1"/>
    </xf>
    <xf numFmtId="0" fontId="14" fillId="0" borderId="9" xfId="0" applyFont="1" applyBorder="1" applyAlignment="1">
      <alignment horizontal="left" vertical="center" wrapText="1"/>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9" xfId="0" applyFont="1" applyBorder="1" applyAlignment="1">
      <alignment vertical="center" wrapText="1"/>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3" xfId="0" applyFont="1" applyBorder="1" applyAlignment="1">
      <alignment horizontal="center" vertical="center"/>
    </xf>
    <xf numFmtId="0" fontId="0" fillId="0" borderId="26" xfId="0" applyFont="1" applyBorder="1" applyAlignment="1">
      <alignment horizontal="center" vertical="center"/>
    </xf>
    <xf numFmtId="0" fontId="11" fillId="0" borderId="2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34" xfId="0" applyFont="1" applyBorder="1" applyAlignment="1">
      <alignment horizontal="left" vertical="center" wrapText="1"/>
    </xf>
    <xf numFmtId="0" fontId="0" fillId="0" borderId="28" xfId="0" applyFont="1" applyBorder="1" applyAlignment="1">
      <alignment horizontal="left" vertical="center" wrapText="1"/>
    </xf>
    <xf numFmtId="0" fontId="0" fillId="0" borderId="36" xfId="0" applyFont="1" applyBorder="1" applyAlignment="1">
      <alignment horizontal="left" vertical="center" wrapText="1"/>
    </xf>
    <xf numFmtId="0" fontId="0" fillId="0" borderId="11" xfId="0" applyFont="1" applyBorder="1" applyAlignment="1">
      <alignment horizontal="left" vertical="center" wrapText="1"/>
    </xf>
    <xf numFmtId="0" fontId="0" fillId="0" borderId="2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0"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30" xfId="0" applyFont="1" applyBorder="1" applyAlignment="1">
      <alignment horizontal="left" vertical="center" wrapText="1"/>
    </xf>
    <xf numFmtId="0" fontId="0" fillId="0" borderId="12" xfId="0" applyFont="1" applyBorder="1" applyAlignment="1">
      <alignment horizontal="left" vertical="center" wrapText="1"/>
    </xf>
    <xf numFmtId="0" fontId="0" fillId="0" borderId="26" xfId="0" applyFont="1" applyBorder="1" applyAlignment="1">
      <alignment horizontal="left" vertical="center" wrapText="1"/>
    </xf>
    <xf numFmtId="0" fontId="0" fillId="0" borderId="17" xfId="0" applyFont="1" applyBorder="1" applyAlignment="1">
      <alignment horizontal="left" vertical="center"/>
    </xf>
    <xf numFmtId="0" fontId="0" fillId="0" borderId="0" xfId="0" applyFont="1" applyBorder="1" applyAlignment="1">
      <alignment horizontal="left" vertical="center"/>
    </xf>
    <xf numFmtId="0" fontId="0"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0" fillId="0" borderId="32"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11" fillId="0" borderId="27" xfId="0" applyFont="1" applyBorder="1" applyAlignment="1">
      <alignment horizontal="left" vertical="center" wrapText="1"/>
    </xf>
    <xf numFmtId="0" fontId="11" fillId="0" borderId="29"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3" xfId="0" applyFont="1" applyBorder="1" applyAlignment="1">
      <alignment vertical="center" wrapText="1"/>
    </xf>
    <xf numFmtId="0" fontId="11" fillId="0" borderId="30" xfId="0" applyFont="1" applyBorder="1" applyAlignment="1">
      <alignment vertical="center" wrapText="1"/>
    </xf>
    <xf numFmtId="0" fontId="11" fillId="0" borderId="4" xfId="0" applyFont="1" applyBorder="1" applyAlignment="1">
      <alignmen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1" fontId="14" fillId="0" borderId="27" xfId="0" applyNumberFormat="1" applyFont="1" applyBorder="1" applyAlignment="1">
      <alignment vertical="center"/>
    </xf>
    <xf numFmtId="1" fontId="14" fillId="0" borderId="29" xfId="0" applyNumberFormat="1" applyFont="1" applyBorder="1" applyAlignment="1">
      <alignment vertical="center"/>
    </xf>
    <xf numFmtId="1" fontId="14" fillId="0" borderId="9" xfId="0" applyNumberFormat="1" applyFont="1" applyBorder="1" applyAlignment="1">
      <alignment vertical="center"/>
    </xf>
    <xf numFmtId="1" fontId="14" fillId="0" borderId="27" xfId="0" applyNumberFormat="1" applyFont="1" applyBorder="1" applyAlignment="1">
      <alignment vertical="center" wrapText="1"/>
    </xf>
    <xf numFmtId="1" fontId="14" fillId="0" borderId="29" xfId="0" applyNumberFormat="1" applyFont="1" applyBorder="1" applyAlignment="1">
      <alignment vertical="center" wrapText="1"/>
    </xf>
    <xf numFmtId="1" fontId="14" fillId="0" borderId="9" xfId="0" applyNumberFormat="1" applyFont="1" applyBorder="1" applyAlignment="1">
      <alignment vertical="center" wrapText="1"/>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34" xfId="0" applyFont="1" applyBorder="1" applyAlignment="1">
      <alignment vertical="center"/>
    </xf>
    <xf numFmtId="0" fontId="14" fillId="0" borderId="17" xfId="0" applyFont="1" applyBorder="1" applyAlignment="1">
      <alignment vertical="center"/>
    </xf>
    <xf numFmtId="0" fontId="15" fillId="0" borderId="20" xfId="0" applyFont="1" applyBorder="1" applyAlignment="1">
      <alignment horizontal="center" vertical="center"/>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14" fillId="0" borderId="9" xfId="0" applyFont="1" applyBorder="1" applyAlignment="1">
      <alignment horizontal="left" vertical="center"/>
    </xf>
    <xf numFmtId="0" fontId="14" fillId="0" borderId="27" xfId="0" applyFont="1" applyBorder="1" applyAlignment="1">
      <alignment vertical="center"/>
    </xf>
    <xf numFmtId="0" fontId="14" fillId="0" borderId="29" xfId="0" applyFont="1" applyBorder="1" applyAlignment="1">
      <alignment vertical="center"/>
    </xf>
    <xf numFmtId="0" fontId="14" fillId="0" borderId="9" xfId="0" applyFont="1" applyBorder="1" applyAlignment="1">
      <alignment vertical="center"/>
    </xf>
    <xf numFmtId="0" fontId="15" fillId="0" borderId="3" xfId="0" applyFont="1" applyBorder="1" applyAlignment="1">
      <alignment vertical="center"/>
    </xf>
    <xf numFmtId="0" fontId="15" fillId="0" borderId="37" xfId="0" applyFont="1" applyBorder="1" applyAlignment="1">
      <alignment vertical="center"/>
    </xf>
    <xf numFmtId="0" fontId="15" fillId="0" borderId="0" xfId="0" applyFont="1" applyBorder="1" applyAlignment="1">
      <alignment vertical="center"/>
    </xf>
    <xf numFmtId="0" fontId="15" fillId="0" borderId="19" xfId="0" applyFont="1" applyBorder="1" applyAlignment="1">
      <alignmen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1" fillId="0" borderId="27" xfId="0" applyFont="1" applyBorder="1" applyAlignment="1">
      <alignment vertical="center" wrapText="1"/>
    </xf>
    <xf numFmtId="0" fontId="11" fillId="0" borderId="9" xfId="0" applyFont="1" applyBorder="1" applyAlignment="1">
      <alignment vertical="center" wrapText="1"/>
    </xf>
    <xf numFmtId="0" fontId="0" fillId="0" borderId="27" xfId="0" applyFont="1" applyBorder="1" applyAlignment="1">
      <alignment horizontal="center" vertical="center" wrapText="1"/>
    </xf>
    <xf numFmtId="0" fontId="0" fillId="0" borderId="9" xfId="0" applyFont="1" applyBorder="1" applyAlignment="1">
      <alignment horizontal="center" vertical="center" wrapText="1"/>
    </xf>
    <xf numFmtId="0" fontId="15" fillId="0" borderId="3" xfId="0" applyFont="1" applyBorder="1" applyAlignment="1">
      <alignment horizontal="center" vertical="center"/>
    </xf>
    <xf numFmtId="0" fontId="15" fillId="0" borderId="30" xfId="0" applyFont="1" applyBorder="1" applyAlignment="1">
      <alignment horizontal="center" vertical="center"/>
    </xf>
    <xf numFmtId="0" fontId="15" fillId="0" borderId="51" xfId="0" applyFont="1" applyBorder="1" applyAlignment="1">
      <alignment horizontal="center" vertical="center"/>
    </xf>
    <xf numFmtId="0" fontId="15" fillId="0" borderId="44"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4" xfId="0" applyFont="1" applyBorder="1" applyAlignment="1">
      <alignment vertical="center" wrapText="1"/>
    </xf>
    <xf numFmtId="0" fontId="15" fillId="0" borderId="50" xfId="0" applyFont="1" applyBorder="1" applyAlignment="1">
      <alignment vertical="center" wrapText="1"/>
    </xf>
    <xf numFmtId="0" fontId="15" fillId="0" borderId="4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0" xfId="0" applyFont="1" applyBorder="1" applyAlignment="1">
      <alignment horizontal="center" vertical="center" wrapText="1"/>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ffice%20Work/Individual/Parab%20Saheb/Project%20Report/Business%20calculator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C MOF"/>
      <sheetName val="Capex"/>
      <sheetName val="Other"/>
      <sheetName val="TL"/>
      <sheetName val="Stock &amp; WC"/>
      <sheetName val="PL"/>
      <sheetName val="BS"/>
      <sheetName val="CF"/>
      <sheetName val="FI"/>
      <sheetName val="Grain"/>
      <sheetName val="F&amp;V Production"/>
      <sheetName val="F1"/>
      <sheetName val="F2"/>
      <sheetName val="F3"/>
      <sheetName val="F4"/>
      <sheetName val="F5"/>
      <sheetName val="F6"/>
      <sheetName val="1"/>
      <sheetName val="2"/>
      <sheetName val="3"/>
      <sheetName val="4"/>
      <sheetName val="6"/>
      <sheetName val="7"/>
      <sheetName val="Prod aggr"/>
      <sheetName val="8"/>
      <sheetName val="9"/>
      <sheetName val="10"/>
      <sheetName val="11"/>
      <sheetName val="12"/>
      <sheetName val="13"/>
      <sheetName val="14"/>
      <sheetName val="15"/>
    </sheetNames>
    <sheetDataSet>
      <sheetData sheetId="0"/>
      <sheetData sheetId="1"/>
      <sheetData sheetId="2"/>
      <sheetData sheetId="3"/>
      <sheetData sheetId="4"/>
      <sheetData sheetId="5"/>
      <sheetData sheetId="6">
        <row r="8">
          <cell r="A8" t="str">
            <v>Faclitiy 1 - Cleaning &amp; Grading</v>
          </cell>
        </row>
        <row r="9">
          <cell r="A9" t="str">
            <v>Faclitiy 2 - Processing Unit- Ragi Mill</v>
          </cell>
        </row>
        <row r="10">
          <cell r="A10" t="str">
            <v>Faclitiy 3 - Warehouse</v>
          </cell>
        </row>
        <row r="11">
          <cell r="A11" t="str">
            <v xml:space="preserve">Faclitiy 4 - Custom Hiring </v>
          </cell>
        </row>
        <row r="12">
          <cell r="A12" t="str">
            <v>Faclitiy 5 - Agri Input Centre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anuragmp77@gmail.com" TargetMode="External"/><Relationship Id="rId1" Type="http://schemas.openxmlformats.org/officeDocument/2006/relationships/hyperlink" Target="mailto:triveni@aceworxasia.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115" zoomScaleNormal="115" workbookViewId="0">
      <selection activeCell="A8" sqref="A8:E8"/>
    </sheetView>
  </sheetViews>
  <sheetFormatPr defaultColWidth="9.140625" defaultRowHeight="15" x14ac:dyDescent="0.25"/>
  <cols>
    <col min="1" max="1" width="12.85546875" style="298" customWidth="1"/>
    <col min="2" max="2" width="56" style="298" customWidth="1"/>
    <col min="3" max="3" width="26.28515625" style="298" customWidth="1"/>
    <col min="4" max="4" width="20.7109375" style="298" customWidth="1"/>
    <col min="5" max="5" width="29.42578125" style="298" customWidth="1"/>
    <col min="6" max="16384" width="9.140625" style="298"/>
  </cols>
  <sheetData>
    <row r="1" spans="1:5" ht="26.25" customHeight="1" x14ac:dyDescent="0.35">
      <c r="A1" s="544" t="s">
        <v>626</v>
      </c>
      <c r="B1" s="544"/>
      <c r="C1" s="544"/>
      <c r="D1" s="544"/>
      <c r="E1" s="544"/>
    </row>
    <row r="2" spans="1:5" ht="26.25" customHeight="1" x14ac:dyDescent="0.35">
      <c r="A2" s="545" t="s">
        <v>622</v>
      </c>
      <c r="B2" s="545"/>
      <c r="C2" s="545"/>
      <c r="D2" s="545"/>
      <c r="E2" s="545"/>
    </row>
    <row r="3" spans="1:5" ht="23.25" customHeight="1" x14ac:dyDescent="0.35">
      <c r="A3" s="546" t="s">
        <v>594</v>
      </c>
      <c r="B3" s="546"/>
      <c r="C3" s="546"/>
      <c r="D3" s="546"/>
      <c r="E3" s="546"/>
    </row>
    <row r="4" spans="1:5" ht="240.75" customHeight="1" x14ac:dyDescent="0.35">
      <c r="A4" s="547" t="s">
        <v>1326</v>
      </c>
      <c r="B4" s="547"/>
      <c r="C4" s="547"/>
      <c r="D4" s="547"/>
      <c r="E4" s="547"/>
    </row>
    <row r="5" spans="1:5" ht="23.25" customHeight="1" x14ac:dyDescent="0.25">
      <c r="A5" s="546" t="s">
        <v>595</v>
      </c>
      <c r="B5" s="546"/>
      <c r="C5" s="546"/>
      <c r="D5" s="546"/>
      <c r="E5" s="546"/>
    </row>
    <row r="6" spans="1:5" ht="108" customHeight="1" x14ac:dyDescent="0.25">
      <c r="A6" s="554" t="s">
        <v>1327</v>
      </c>
      <c r="B6" s="555"/>
      <c r="C6" s="555"/>
      <c r="D6" s="555"/>
      <c r="E6" s="556"/>
    </row>
    <row r="7" spans="1:5" ht="23.25" customHeight="1" x14ac:dyDescent="0.25">
      <c r="A7" s="557" t="s">
        <v>627</v>
      </c>
      <c r="B7" s="557"/>
      <c r="C7" s="557"/>
      <c r="D7" s="557"/>
      <c r="E7" s="557"/>
    </row>
    <row r="8" spans="1:5" ht="125.25" customHeight="1" x14ac:dyDescent="0.25">
      <c r="A8" s="547" t="s">
        <v>663</v>
      </c>
      <c r="B8" s="547"/>
      <c r="C8" s="547"/>
      <c r="D8" s="547"/>
      <c r="E8" s="547"/>
    </row>
    <row r="9" spans="1:5" x14ac:dyDescent="0.25">
      <c r="A9" s="546" t="s">
        <v>619</v>
      </c>
      <c r="B9" s="546"/>
      <c r="C9" s="546"/>
      <c r="D9" s="546"/>
      <c r="E9" s="546"/>
    </row>
    <row r="10" spans="1:5" x14ac:dyDescent="0.25">
      <c r="A10" s="298" t="s">
        <v>596</v>
      </c>
      <c r="B10" s="298" t="s">
        <v>147</v>
      </c>
    </row>
    <row r="11" spans="1:5" ht="20.25" customHeight="1" x14ac:dyDescent="0.25">
      <c r="A11" s="299"/>
      <c r="B11" s="558" t="s">
        <v>396</v>
      </c>
      <c r="C11" s="559"/>
      <c r="D11" s="559"/>
      <c r="E11" s="560"/>
    </row>
    <row r="12" spans="1:5" x14ac:dyDescent="0.25">
      <c r="A12" s="300"/>
      <c r="B12" s="548" t="s">
        <v>397</v>
      </c>
      <c r="C12" s="548"/>
      <c r="D12" s="548"/>
      <c r="E12" s="548"/>
    </row>
    <row r="13" spans="1:5" s="301" customFormat="1" x14ac:dyDescent="0.25">
      <c r="A13" s="549"/>
      <c r="B13" s="549"/>
      <c r="C13" s="549"/>
      <c r="D13" s="549"/>
      <c r="E13" s="550"/>
    </row>
    <row r="14" spans="1:5" x14ac:dyDescent="0.25">
      <c r="A14" s="546" t="s">
        <v>620</v>
      </c>
      <c r="B14" s="546"/>
      <c r="C14" s="546"/>
      <c r="D14" s="546"/>
      <c r="E14" s="546"/>
    </row>
    <row r="15" spans="1:5" x14ac:dyDescent="0.25">
      <c r="A15" s="199" t="s">
        <v>592</v>
      </c>
      <c r="B15" s="199" t="s">
        <v>628</v>
      </c>
      <c r="C15" s="199" t="s">
        <v>442</v>
      </c>
      <c r="D15" s="199" t="s">
        <v>600</v>
      </c>
      <c r="E15" s="199" t="s">
        <v>593</v>
      </c>
    </row>
    <row r="16" spans="1:5" x14ac:dyDescent="0.25">
      <c r="A16" s="302" t="s">
        <v>169</v>
      </c>
      <c r="B16" s="302" t="s">
        <v>629</v>
      </c>
      <c r="C16" s="302"/>
      <c r="D16" s="302"/>
      <c r="E16" s="302"/>
    </row>
    <row r="17" spans="1:5" ht="60" x14ac:dyDescent="0.25">
      <c r="A17" s="303" t="s">
        <v>610</v>
      </c>
      <c r="B17" s="304" t="s">
        <v>617</v>
      </c>
      <c r="C17" s="304" t="s">
        <v>660</v>
      </c>
      <c r="D17" s="304" t="s">
        <v>630</v>
      </c>
      <c r="E17" s="304"/>
    </row>
    <row r="18" spans="1:5" ht="90" x14ac:dyDescent="0.25">
      <c r="A18" s="303" t="s">
        <v>611</v>
      </c>
      <c r="B18" s="304" t="s">
        <v>597</v>
      </c>
      <c r="C18" s="304" t="s">
        <v>661</v>
      </c>
      <c r="D18" s="304" t="s">
        <v>631</v>
      </c>
      <c r="E18" s="304"/>
    </row>
    <row r="19" spans="1:5" ht="26.25" customHeight="1" x14ac:dyDescent="0.25">
      <c r="A19" s="303" t="s">
        <v>612</v>
      </c>
      <c r="B19" s="305" t="s">
        <v>623</v>
      </c>
      <c r="C19" s="304" t="s">
        <v>632</v>
      </c>
      <c r="D19" s="304" t="s">
        <v>633</v>
      </c>
      <c r="E19" s="304" t="s">
        <v>621</v>
      </c>
    </row>
    <row r="20" spans="1:5" ht="30" x14ac:dyDescent="0.25">
      <c r="A20" s="303" t="s">
        <v>613</v>
      </c>
      <c r="B20" s="304" t="s">
        <v>662</v>
      </c>
      <c r="C20" s="304"/>
      <c r="D20" s="304"/>
      <c r="E20" s="304"/>
    </row>
    <row r="21" spans="1:5" x14ac:dyDescent="0.25">
      <c r="A21" s="304">
        <v>4.0999999999999996</v>
      </c>
      <c r="B21" s="304" t="s">
        <v>604</v>
      </c>
      <c r="C21" s="551" t="s">
        <v>634</v>
      </c>
      <c r="D21" s="304" t="s">
        <v>635</v>
      </c>
      <c r="E21" s="304"/>
    </row>
    <row r="22" spans="1:5" ht="30" x14ac:dyDescent="0.25">
      <c r="A22" s="304">
        <v>4.2</v>
      </c>
      <c r="B22" s="304" t="s">
        <v>608</v>
      </c>
      <c r="C22" s="552"/>
      <c r="D22" s="304" t="s">
        <v>636</v>
      </c>
      <c r="E22" s="304"/>
    </row>
    <row r="23" spans="1:5" x14ac:dyDescent="0.25">
      <c r="A23" s="304">
        <v>4.3</v>
      </c>
      <c r="B23" s="304" t="s">
        <v>605</v>
      </c>
      <c r="C23" s="552"/>
      <c r="D23" s="304" t="s">
        <v>637</v>
      </c>
      <c r="E23" s="304"/>
    </row>
    <row r="24" spans="1:5" x14ac:dyDescent="0.25">
      <c r="A24" s="304">
        <v>4.4000000000000004</v>
      </c>
      <c r="B24" s="304" t="s">
        <v>606</v>
      </c>
      <c r="C24" s="552"/>
      <c r="D24" s="304" t="s">
        <v>638</v>
      </c>
      <c r="E24" s="304"/>
    </row>
    <row r="25" spans="1:5" x14ac:dyDescent="0.25">
      <c r="A25" s="304">
        <v>4.5</v>
      </c>
      <c r="B25" s="304" t="s">
        <v>607</v>
      </c>
      <c r="C25" s="552"/>
      <c r="D25" s="304" t="s">
        <v>639</v>
      </c>
      <c r="E25" s="304"/>
    </row>
    <row r="26" spans="1:5" x14ac:dyDescent="0.25">
      <c r="A26" s="304">
        <v>4.5999999999999996</v>
      </c>
      <c r="B26" s="304" t="s">
        <v>609</v>
      </c>
      <c r="C26" s="553"/>
      <c r="D26" s="304" t="s">
        <v>640</v>
      </c>
      <c r="E26" s="304"/>
    </row>
    <row r="27" spans="1:5" ht="45" x14ac:dyDescent="0.25">
      <c r="A27" s="303" t="s">
        <v>614</v>
      </c>
      <c r="B27" s="304" t="s">
        <v>598</v>
      </c>
      <c r="C27" s="304" t="s">
        <v>641</v>
      </c>
      <c r="D27" s="304" t="s">
        <v>665</v>
      </c>
      <c r="E27" s="304"/>
    </row>
    <row r="28" spans="1:5" ht="60" x14ac:dyDescent="0.25">
      <c r="A28" s="303" t="s">
        <v>615</v>
      </c>
      <c r="B28" s="304" t="s">
        <v>642</v>
      </c>
      <c r="C28" s="304" t="s">
        <v>643</v>
      </c>
      <c r="D28" s="304" t="s">
        <v>644</v>
      </c>
      <c r="E28" s="304"/>
    </row>
    <row r="29" spans="1:5" ht="45" x14ac:dyDescent="0.25">
      <c r="A29" s="303" t="s">
        <v>616</v>
      </c>
      <c r="B29" s="304" t="s">
        <v>599</v>
      </c>
      <c r="C29" s="304" t="s">
        <v>645</v>
      </c>
      <c r="D29" s="304" t="s">
        <v>646</v>
      </c>
      <c r="E29" s="304"/>
    </row>
    <row r="30" spans="1:5" x14ac:dyDescent="0.25">
      <c r="A30" s="302" t="s">
        <v>170</v>
      </c>
      <c r="B30" s="306" t="s">
        <v>647</v>
      </c>
      <c r="C30" s="302"/>
      <c r="D30" s="302"/>
      <c r="E30" s="302"/>
    </row>
    <row r="31" spans="1:5" ht="26.25" customHeight="1" x14ac:dyDescent="0.25">
      <c r="A31" s="307" t="s">
        <v>648</v>
      </c>
      <c r="B31" s="304" t="s">
        <v>601</v>
      </c>
      <c r="C31" s="304"/>
      <c r="D31" s="304" t="s">
        <v>649</v>
      </c>
      <c r="E31" s="304" t="s">
        <v>621</v>
      </c>
    </row>
    <row r="32" spans="1:5" x14ac:dyDescent="0.25">
      <c r="A32" s="307" t="s">
        <v>650</v>
      </c>
      <c r="B32" s="304" t="s">
        <v>602</v>
      </c>
      <c r="C32" s="304"/>
      <c r="D32" s="304" t="s">
        <v>651</v>
      </c>
      <c r="E32" s="304" t="s">
        <v>621</v>
      </c>
    </row>
    <row r="33" spans="1:5" x14ac:dyDescent="0.25">
      <c r="A33" s="307" t="s">
        <v>652</v>
      </c>
      <c r="B33" s="304" t="s">
        <v>603</v>
      </c>
      <c r="C33" s="304"/>
      <c r="D33" s="304" t="s">
        <v>653</v>
      </c>
      <c r="E33" s="304" t="s">
        <v>621</v>
      </c>
    </row>
    <row r="34" spans="1:5" ht="35.25" customHeight="1" x14ac:dyDescent="0.25">
      <c r="A34" s="307" t="s">
        <v>654</v>
      </c>
      <c r="B34" s="304" t="s">
        <v>618</v>
      </c>
      <c r="C34" s="304"/>
      <c r="D34" s="304" t="s">
        <v>655</v>
      </c>
      <c r="E34" s="304" t="s">
        <v>621</v>
      </c>
    </row>
    <row r="35" spans="1:5" ht="35.25" customHeight="1" x14ac:dyDescent="0.25">
      <c r="A35" s="307" t="s">
        <v>656</v>
      </c>
      <c r="B35" s="304" t="s">
        <v>657</v>
      </c>
      <c r="C35" s="304"/>
      <c r="D35" s="304" t="s">
        <v>664</v>
      </c>
      <c r="E35" s="304" t="s">
        <v>621</v>
      </c>
    </row>
    <row r="36" spans="1:5" x14ac:dyDescent="0.25">
      <c r="A36" s="303" t="s">
        <v>658</v>
      </c>
      <c r="B36" s="304" t="s">
        <v>659</v>
      </c>
      <c r="C36" s="304"/>
      <c r="D36" s="304"/>
      <c r="E36" s="304"/>
    </row>
    <row r="37" spans="1:5" x14ac:dyDescent="0.25">
      <c r="A37" s="543"/>
      <c r="B37" s="543"/>
      <c r="C37" s="543"/>
      <c r="D37" s="543"/>
      <c r="E37" s="54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16"/>
  <sheetViews>
    <sheetView view="pageBreakPreview" topLeftCell="A66" zoomScale="115" zoomScaleNormal="100" zoomScaleSheetLayoutView="115" workbookViewId="0">
      <selection activeCell="C8" sqref="C8"/>
    </sheetView>
  </sheetViews>
  <sheetFormatPr defaultColWidth="8.7109375" defaultRowHeight="15" x14ac:dyDescent="0.25"/>
  <cols>
    <col min="1" max="1" width="8.7109375" style="192"/>
    <col min="2" max="2" width="32.7109375" style="192" bestFit="1" customWidth="1"/>
    <col min="3" max="3" width="16.7109375" style="192" bestFit="1" customWidth="1"/>
    <col min="4" max="6" width="15.42578125" style="192" bestFit="1" customWidth="1"/>
    <col min="7" max="7" width="15.85546875" style="192" bestFit="1" customWidth="1"/>
    <col min="8" max="9" width="16.5703125" style="192" bestFit="1" customWidth="1"/>
    <col min="10" max="10" width="12.7109375" style="192" bestFit="1" customWidth="1"/>
    <col min="11" max="11" width="14.42578125" style="192" customWidth="1"/>
    <col min="12" max="12" width="14.85546875" style="192" bestFit="1" customWidth="1"/>
    <col min="13" max="18" width="11.85546875" style="192" bestFit="1" customWidth="1"/>
    <col min="19" max="19" width="4.5703125" style="192" bestFit="1" customWidth="1"/>
    <col min="20" max="16384" width="8.7109375" style="192"/>
  </cols>
  <sheetData>
    <row r="3" spans="2:19" ht="14.45" x14ac:dyDescent="0.35">
      <c r="B3" s="599" t="s">
        <v>547</v>
      </c>
      <c r="C3" s="599"/>
      <c r="D3" s="599"/>
      <c r="E3" s="599"/>
      <c r="F3" s="599"/>
      <c r="G3" s="599"/>
      <c r="H3" s="599"/>
      <c r="I3" s="599"/>
      <c r="J3" s="599"/>
    </row>
    <row r="4" spans="2:19" ht="14.45" x14ac:dyDescent="0.35">
      <c r="B4" s="430"/>
      <c r="C4" s="430"/>
      <c r="D4" s="430"/>
      <c r="E4" s="430"/>
      <c r="F4" s="430"/>
      <c r="G4" s="430"/>
      <c r="H4" s="430"/>
      <c r="I4" s="430"/>
      <c r="J4" s="430"/>
    </row>
    <row r="5" spans="2:19" ht="14.45" x14ac:dyDescent="0.35">
      <c r="B5" s="431" t="s">
        <v>29</v>
      </c>
      <c r="C5" s="432" t="s">
        <v>332</v>
      </c>
      <c r="D5" s="432" t="s">
        <v>2</v>
      </c>
      <c r="E5" s="432" t="s">
        <v>3</v>
      </c>
      <c r="F5" s="432" t="s">
        <v>4</v>
      </c>
      <c r="G5" s="432" t="s">
        <v>5</v>
      </c>
      <c r="H5" s="432" t="s">
        <v>6</v>
      </c>
      <c r="I5" s="432" t="s">
        <v>165</v>
      </c>
      <c r="J5" s="432" t="s">
        <v>164</v>
      </c>
    </row>
    <row r="6" spans="2:19" ht="14.45" x14ac:dyDescent="0.35">
      <c r="B6" s="433"/>
      <c r="C6" s="433"/>
      <c r="D6" s="433"/>
      <c r="E6" s="433"/>
      <c r="F6" s="433"/>
      <c r="G6" s="433"/>
      <c r="H6" s="433"/>
      <c r="I6" s="433"/>
      <c r="J6" s="433"/>
    </row>
    <row r="7" spans="2:19" ht="14.45" x14ac:dyDescent="0.35">
      <c r="B7" s="433" t="s">
        <v>30</v>
      </c>
      <c r="C7" s="433"/>
      <c r="D7" s="434">
        <f>PL!B45-PL!B47</f>
        <v>2070130.1588142994</v>
      </c>
      <c r="E7" s="434">
        <f>PL!C45-PL!C47</f>
        <v>1789633.4486760814</v>
      </c>
      <c r="F7" s="434">
        <f>PL!D45-PL!D47</f>
        <v>2361056.9066432873</v>
      </c>
      <c r="G7" s="434">
        <f>PL!E45-PL!E47</f>
        <v>2912190.813246862</v>
      </c>
      <c r="H7" s="434">
        <f>PL!F45-PL!F47</f>
        <v>3436074.408421468</v>
      </c>
      <c r="I7" s="434">
        <f>PL!G45-PL!G47</f>
        <v>3981229.2041303366</v>
      </c>
      <c r="J7" s="434">
        <f>PL!H45-PL!H47</f>
        <v>4511307.3392422311</v>
      </c>
    </row>
    <row r="8" spans="2:19" ht="14.45" x14ac:dyDescent="0.35">
      <c r="B8" s="433"/>
      <c r="C8" s="433"/>
      <c r="D8" s="434"/>
      <c r="E8" s="434"/>
      <c r="F8" s="434"/>
      <c r="G8" s="434"/>
      <c r="H8" s="434"/>
      <c r="I8" s="434"/>
      <c r="J8" s="434"/>
    </row>
    <row r="9" spans="2:19" ht="14.45" x14ac:dyDescent="0.35">
      <c r="B9" s="435" t="s">
        <v>1324</v>
      </c>
      <c r="C9" s="435"/>
      <c r="D9" s="434">
        <f>PL!B36</f>
        <v>934623.5443999999</v>
      </c>
      <c r="E9" s="434">
        <f>PL!C36</f>
        <v>934623.5443999999</v>
      </c>
      <c r="F9" s="434">
        <f>PL!D36</f>
        <v>934623.5443999999</v>
      </c>
      <c r="G9" s="434">
        <f>PL!E36</f>
        <v>934623.5443999999</v>
      </c>
      <c r="H9" s="434">
        <f>PL!F36</f>
        <v>934623.5443999999</v>
      </c>
      <c r="I9" s="434">
        <f>PL!G36</f>
        <v>934623.5443999999</v>
      </c>
      <c r="J9" s="434">
        <f>PL!H36</f>
        <v>934623.5443999999</v>
      </c>
    </row>
    <row r="10" spans="2:19" ht="14.45" x14ac:dyDescent="0.35">
      <c r="B10" s="433" t="s">
        <v>35</v>
      </c>
      <c r="C10" s="433"/>
      <c r="D10" s="434">
        <f>PL!B37</f>
        <v>100000</v>
      </c>
      <c r="E10" s="434">
        <f>PL!C37</f>
        <v>100000</v>
      </c>
      <c r="F10" s="434">
        <f>PL!D37</f>
        <v>100000</v>
      </c>
      <c r="G10" s="434">
        <f>PL!E37</f>
        <v>100000</v>
      </c>
      <c r="H10" s="434">
        <f>PL!F37</f>
        <v>100000</v>
      </c>
      <c r="I10" s="434">
        <f>PL!G37</f>
        <v>0</v>
      </c>
      <c r="J10" s="434">
        <f>PL!H37</f>
        <v>0</v>
      </c>
    </row>
    <row r="11" spans="2:19" ht="14.45" x14ac:dyDescent="0.35">
      <c r="B11" s="433"/>
      <c r="C11" s="433"/>
      <c r="D11" s="433"/>
      <c r="E11" s="433"/>
      <c r="F11" s="433"/>
      <c r="G11" s="433"/>
      <c r="H11" s="433"/>
      <c r="I11" s="433"/>
      <c r="J11" s="433"/>
    </row>
    <row r="12" spans="2:19" ht="14.45" x14ac:dyDescent="0.35">
      <c r="B12" s="433" t="s">
        <v>31</v>
      </c>
      <c r="C12" s="433"/>
      <c r="D12" s="434">
        <f>SUM(D7:D10)</f>
        <v>3104753.7032142994</v>
      </c>
      <c r="E12" s="434">
        <f t="shared" ref="E12:J12" si="0">SUM(E7:E10)</f>
        <v>2824256.9930760814</v>
      </c>
      <c r="F12" s="434">
        <f t="shared" si="0"/>
        <v>3395680.4510432873</v>
      </c>
      <c r="G12" s="434">
        <f t="shared" si="0"/>
        <v>3946814.357646862</v>
      </c>
      <c r="H12" s="434">
        <f t="shared" si="0"/>
        <v>4470697.952821468</v>
      </c>
      <c r="I12" s="434">
        <f t="shared" si="0"/>
        <v>4915852.7485303367</v>
      </c>
      <c r="J12" s="434">
        <f t="shared" si="0"/>
        <v>5445930.8836422311</v>
      </c>
    </row>
    <row r="13" spans="2:19" ht="14.45" x14ac:dyDescent="0.35">
      <c r="B13" s="433" t="s">
        <v>341</v>
      </c>
      <c r="C13" s="436">
        <f>-'Cost MOF'!D12</f>
        <v>-18057011.824831069</v>
      </c>
      <c r="D13" s="434">
        <f>D12</f>
        <v>3104753.7032142994</v>
      </c>
      <c r="E13" s="434">
        <f t="shared" ref="E13:J13" si="1">E12</f>
        <v>2824256.9930760814</v>
      </c>
      <c r="F13" s="434">
        <f t="shared" si="1"/>
        <v>3395680.4510432873</v>
      </c>
      <c r="G13" s="434">
        <f t="shared" si="1"/>
        <v>3946814.357646862</v>
      </c>
      <c r="H13" s="434">
        <f t="shared" si="1"/>
        <v>4470697.952821468</v>
      </c>
      <c r="I13" s="434">
        <f t="shared" si="1"/>
        <v>4915852.7485303367</v>
      </c>
      <c r="J13" s="434">
        <f t="shared" si="1"/>
        <v>5445930.8836422311</v>
      </c>
    </row>
    <row r="14" spans="2:19" ht="14.45" x14ac:dyDescent="0.35">
      <c r="B14" s="433" t="s">
        <v>276</v>
      </c>
      <c r="C14" s="437">
        <f>IRR(C13:J13)</f>
        <v>0.1102984383770047</v>
      </c>
      <c r="D14" s="434"/>
      <c r="E14" s="434"/>
      <c r="F14" s="434"/>
      <c r="G14" s="434"/>
      <c r="H14" s="434"/>
      <c r="I14" s="434"/>
      <c r="J14" s="434"/>
    </row>
    <row r="15" spans="2:19" ht="14.45" x14ac:dyDescent="0.35">
      <c r="B15" s="433"/>
      <c r="C15" s="433"/>
      <c r="D15" s="433"/>
      <c r="E15" s="433"/>
      <c r="F15" s="433"/>
      <c r="G15" s="433"/>
      <c r="H15" s="433"/>
      <c r="I15" s="433"/>
      <c r="J15" s="433"/>
    </row>
    <row r="16" spans="2:19" ht="14.45" x14ac:dyDescent="0.35">
      <c r="B16" s="438" t="s">
        <v>399</v>
      </c>
      <c r="C16" s="438"/>
      <c r="D16" s="439">
        <f>1/(1+$C$14)</f>
        <v>0.90065874672557844</v>
      </c>
      <c r="E16" s="440">
        <f t="shared" ref="E16:J16" si="2">D16/(1+$C$14)</f>
        <v>0.81118617805328974</v>
      </c>
      <c r="F16" s="440">
        <f t="shared" si="2"/>
        <v>0.73060192648658795</v>
      </c>
      <c r="G16" s="440">
        <f t="shared" si="2"/>
        <v>0.65802301546470354</v>
      </c>
      <c r="H16" s="440">
        <f t="shared" si="2"/>
        <v>0.59265418442502582</v>
      </c>
      <c r="I16" s="440">
        <f t="shared" si="2"/>
        <v>0.53377917498591365</v>
      </c>
      <c r="J16" s="440">
        <f t="shared" si="2"/>
        <v>0.48075288277102624</v>
      </c>
      <c r="L16" s="441"/>
      <c r="M16" s="441"/>
      <c r="N16" s="441"/>
      <c r="O16" s="441"/>
      <c r="P16" s="441"/>
      <c r="Q16" s="441"/>
      <c r="R16" s="441"/>
      <c r="S16" s="441"/>
    </row>
    <row r="17" spans="2:13" ht="14.45" x14ac:dyDescent="0.35">
      <c r="B17" s="433" t="s">
        <v>32</v>
      </c>
      <c r="C17" s="433"/>
      <c r="D17" s="434">
        <f t="shared" ref="D17:J17" si="3">D12*D16</f>
        <v>2796323.5792285893</v>
      </c>
      <c r="E17" s="434">
        <f t="shared" si="3"/>
        <v>2290998.2360536628</v>
      </c>
      <c r="F17" s="434">
        <f t="shared" si="3"/>
        <v>2480890.6792650716</v>
      </c>
      <c r="G17" s="434">
        <f t="shared" si="3"/>
        <v>2597094.685098175</v>
      </c>
      <c r="H17" s="434">
        <f t="shared" si="3"/>
        <v>2649577.8490400398</v>
      </c>
      <c r="I17" s="434">
        <f t="shared" si="3"/>
        <v>2623979.8244627593</v>
      </c>
      <c r="J17" s="434">
        <f t="shared" si="3"/>
        <v>2618146.9716827651</v>
      </c>
      <c r="L17" s="344"/>
    </row>
    <row r="18" spans="2:13" ht="14.45" x14ac:dyDescent="0.35">
      <c r="B18" s="433" t="s">
        <v>33</v>
      </c>
      <c r="C18" s="433"/>
      <c r="D18" s="594">
        <f>SUM(D17:J17)</f>
        <v>18057011.824831061</v>
      </c>
      <c r="E18" s="594"/>
      <c r="F18" s="594"/>
      <c r="G18" s="594"/>
      <c r="H18" s="594"/>
      <c r="I18" s="594"/>
      <c r="J18" s="594"/>
      <c r="L18" s="344"/>
    </row>
    <row r="19" spans="2:13" ht="14.45" x14ac:dyDescent="0.35">
      <c r="B19" s="433"/>
      <c r="C19" s="433"/>
      <c r="D19" s="434"/>
      <c r="E19" s="434"/>
      <c r="F19" s="434"/>
      <c r="G19" s="434"/>
      <c r="H19" s="434"/>
      <c r="I19" s="434"/>
      <c r="J19" s="434"/>
    </row>
    <row r="20" spans="2:13" ht="14.45" x14ac:dyDescent="0.35">
      <c r="B20" s="442" t="s">
        <v>34</v>
      </c>
      <c r="C20" s="442"/>
      <c r="D20" s="595">
        <f>'Cost MOF'!D12</f>
        <v>18057011.824831069</v>
      </c>
      <c r="E20" s="595"/>
      <c r="F20" s="595"/>
      <c r="G20" s="595"/>
      <c r="H20" s="595"/>
      <c r="I20" s="595"/>
      <c r="J20" s="595"/>
    </row>
    <row r="21" spans="2:13" ht="14.45" x14ac:dyDescent="0.35">
      <c r="F21" s="441">
        <f>D18-D20</f>
        <v>0</v>
      </c>
    </row>
    <row r="22" spans="2:13" ht="29.45" customHeight="1" x14ac:dyDescent="0.25">
      <c r="B22" s="600" t="s">
        <v>417</v>
      </c>
      <c r="C22" s="600"/>
      <c r="D22" s="600"/>
      <c r="E22" s="600"/>
      <c r="F22" s="600"/>
      <c r="G22" s="600"/>
      <c r="H22" s="600"/>
      <c r="I22" s="600"/>
      <c r="J22" s="600"/>
    </row>
    <row r="23" spans="2:13" ht="14.45" x14ac:dyDescent="0.35">
      <c r="K23" s="441"/>
      <c r="L23" s="441"/>
      <c r="M23" s="441"/>
    </row>
    <row r="24" spans="2:13" ht="14.45" x14ac:dyDescent="0.35">
      <c r="B24" s="565" t="s">
        <v>548</v>
      </c>
      <c r="C24" s="565"/>
      <c r="D24" s="565"/>
      <c r="E24" s="565"/>
      <c r="F24" s="565"/>
      <c r="G24" s="565"/>
      <c r="H24" s="565"/>
      <c r="I24" s="565"/>
    </row>
    <row r="25" spans="2:13" ht="14.45" x14ac:dyDescent="0.35">
      <c r="K25" s="441"/>
    </row>
    <row r="26" spans="2:13" ht="14.45" x14ac:dyDescent="0.35">
      <c r="B26" s="443" t="s">
        <v>0</v>
      </c>
      <c r="C26" s="432" t="s">
        <v>2</v>
      </c>
      <c r="D26" s="432" t="s">
        <v>3</v>
      </c>
      <c r="E26" s="432" t="s">
        <v>4</v>
      </c>
      <c r="F26" s="432" t="s">
        <v>5</v>
      </c>
      <c r="G26" s="432" t="s">
        <v>6</v>
      </c>
      <c r="H26" s="432" t="s">
        <v>165</v>
      </c>
      <c r="I26" s="432" t="s">
        <v>164</v>
      </c>
    </row>
    <row r="27" spans="2:13" ht="14.45" x14ac:dyDescent="0.35">
      <c r="B27" s="312"/>
      <c r="C27" s="312"/>
      <c r="D27" s="312"/>
      <c r="E27" s="312"/>
      <c r="F27" s="312"/>
      <c r="G27" s="312"/>
      <c r="H27" s="312"/>
      <c r="I27" s="312"/>
    </row>
    <row r="28" spans="2:13" ht="14.45" x14ac:dyDescent="0.35">
      <c r="B28" s="312" t="s">
        <v>36</v>
      </c>
      <c r="C28" s="312"/>
      <c r="D28" s="312"/>
      <c r="E28" s="312"/>
      <c r="F28" s="312"/>
      <c r="G28" s="312"/>
      <c r="H28" s="312"/>
      <c r="I28" s="312"/>
    </row>
    <row r="29" spans="2:13" ht="14.45" x14ac:dyDescent="0.35">
      <c r="B29" s="312"/>
      <c r="C29" s="340"/>
      <c r="D29" s="340"/>
      <c r="E29" s="340"/>
      <c r="F29" s="340"/>
      <c r="G29" s="340"/>
      <c r="H29" s="340"/>
      <c r="I29" s="340"/>
    </row>
    <row r="30" spans="2:13" ht="14.45" x14ac:dyDescent="0.35">
      <c r="B30" s="348" t="str">
        <f>PL!A5</f>
        <v>Facility 1 - Cleaning &amp; Grading</v>
      </c>
      <c r="C30" s="340">
        <f>PL!B5</f>
        <v>29661972.741941765</v>
      </c>
      <c r="D30" s="340">
        <f>PL!C5</f>
        <v>33949179.073855594</v>
      </c>
      <c r="E30" s="340">
        <f>PL!D5</f>
        <v>38390091.717705235</v>
      </c>
      <c r="F30" s="340">
        <f>PL!E5</f>
        <v>43190222.67825523</v>
      </c>
      <c r="G30" s="340">
        <f>PL!F5</f>
        <v>48374391.505565956</v>
      </c>
      <c r="H30" s="340">
        <f>PL!G5</f>
        <v>53969001.658912107</v>
      </c>
      <c r="I30" s="340">
        <f>PL!H5</f>
        <v>60002136.848828964</v>
      </c>
    </row>
    <row r="31" spans="2:13" ht="14.45" x14ac:dyDescent="0.35">
      <c r="B31" s="348" t="str">
        <f>PL!A6</f>
        <v>Facility 2 - Processing Unit- Ragi Mill</v>
      </c>
      <c r="C31" s="340">
        <f>PL!B6</f>
        <v>6065956.512000002</v>
      </c>
      <c r="D31" s="340">
        <f>PL!C6</f>
        <v>6454177.7287680013</v>
      </c>
      <c r="E31" s="340">
        <f>PL!D6</f>
        <v>7200442.0286568021</v>
      </c>
      <c r="F31" s="340">
        <f>PL!E6</f>
        <v>8005197.3142125634</v>
      </c>
      <c r="G31" s="340">
        <f>PL!F6</f>
        <v>8872427.0232522581</v>
      </c>
      <c r="H31" s="340">
        <f>PL!G6</f>
        <v>9806366.7099103928</v>
      </c>
      <c r="I31" s="340">
        <f>PL!H6</f>
        <v>10811519.297676206</v>
      </c>
    </row>
    <row r="32" spans="2:13" ht="14.45" x14ac:dyDescent="0.35">
      <c r="B32" s="348" t="str">
        <f>PL!A7</f>
        <v>Facility 3 - Warehouse</v>
      </c>
      <c r="C32" s="340">
        <f>PL!B7</f>
        <v>210000</v>
      </c>
      <c r="D32" s="340">
        <f>PL!C7</f>
        <v>242550.00000000003</v>
      </c>
      <c r="E32" s="340">
        <f>PL!D7</f>
        <v>277830.00000000006</v>
      </c>
      <c r="F32" s="340">
        <f>PL!E7</f>
        <v>316031.62500000012</v>
      </c>
      <c r="G32" s="340">
        <f>PL!F7</f>
        <v>357358.83750000014</v>
      </c>
      <c r="H32" s="340">
        <f>PL!G7</f>
        <v>375226.77937500016</v>
      </c>
      <c r="I32" s="340">
        <f>PL!H7</f>
        <v>393988.11834375019</v>
      </c>
    </row>
    <row r="33" spans="2:9" ht="14.45" x14ac:dyDescent="0.35">
      <c r="B33" s="348" t="str">
        <f>PL!A8</f>
        <v xml:space="preserve">Facility 4 - Custom Hiring </v>
      </c>
      <c r="C33" s="340">
        <f>PL!B8</f>
        <v>2058000</v>
      </c>
      <c r="D33" s="340">
        <f>PL!C8</f>
        <v>2160900</v>
      </c>
      <c r="E33" s="340">
        <f>PL!D8</f>
        <v>2268945</v>
      </c>
      <c r="F33" s="340">
        <f>PL!E8</f>
        <v>2382392.2500000005</v>
      </c>
      <c r="G33" s="340">
        <f>PL!F8</f>
        <v>2501511.8625000007</v>
      </c>
      <c r="H33" s="340">
        <f>PL!G8</f>
        <v>2626587.4556250009</v>
      </c>
      <c r="I33" s="340">
        <f>PL!H8</f>
        <v>2757916.828406251</v>
      </c>
    </row>
    <row r="34" spans="2:9" ht="14.45" hidden="1" x14ac:dyDescent="0.35">
      <c r="B34" s="348" t="str">
        <f>PL!A9</f>
        <v>Facility 5 - Agri Input Centre</v>
      </c>
      <c r="C34" s="340">
        <f>PL!B9</f>
        <v>0</v>
      </c>
      <c r="D34" s="340">
        <f>PL!C9</f>
        <v>0</v>
      </c>
      <c r="E34" s="340">
        <f>PL!D9</f>
        <v>0</v>
      </c>
      <c r="F34" s="340">
        <f>PL!E9</f>
        <v>0</v>
      </c>
      <c r="G34" s="340">
        <f>PL!F9</f>
        <v>0</v>
      </c>
      <c r="H34" s="340">
        <f>PL!G9</f>
        <v>0</v>
      </c>
      <c r="I34" s="340">
        <f>PL!H9</f>
        <v>0</v>
      </c>
    </row>
    <row r="35" spans="2:9" ht="14.45" hidden="1" x14ac:dyDescent="0.35">
      <c r="B35" s="348" t="str">
        <f>PL!A10</f>
        <v>Facility 6 - Processing Unit - Horti Commodity</v>
      </c>
      <c r="C35" s="340">
        <f>PL!B10</f>
        <v>0</v>
      </c>
      <c r="D35" s="340">
        <f>PL!C10</f>
        <v>0</v>
      </c>
      <c r="E35" s="340">
        <f>PL!D10</f>
        <v>0</v>
      </c>
      <c r="F35" s="340">
        <f>PL!E10</f>
        <v>0</v>
      </c>
      <c r="G35" s="340">
        <f>PL!F10</f>
        <v>0</v>
      </c>
      <c r="H35" s="340">
        <f>PL!G10</f>
        <v>0</v>
      </c>
      <c r="I35" s="340">
        <f>PL!H10</f>
        <v>0</v>
      </c>
    </row>
    <row r="36" spans="2:9" ht="14.45" x14ac:dyDescent="0.35">
      <c r="B36" s="348"/>
      <c r="C36" s="348"/>
      <c r="D36" s="348"/>
      <c r="E36" s="348"/>
      <c r="F36" s="348"/>
      <c r="G36" s="348"/>
      <c r="H36" s="348"/>
      <c r="I36" s="348"/>
    </row>
    <row r="37" spans="2:9" ht="14.45" x14ac:dyDescent="0.35">
      <c r="B37" s="312" t="s">
        <v>8</v>
      </c>
      <c r="C37" s="340">
        <f>SUM(C30:C36)</f>
        <v>37995929.253941767</v>
      </c>
      <c r="D37" s="340">
        <f t="shared" ref="D37:I37" si="4">SUM(D30:D36)</f>
        <v>42806806.802623592</v>
      </c>
      <c r="E37" s="340">
        <f t="shared" si="4"/>
        <v>48137308.746362038</v>
      </c>
      <c r="F37" s="340">
        <f t="shared" si="4"/>
        <v>53893843.867467791</v>
      </c>
      <c r="G37" s="340">
        <f t="shared" si="4"/>
        <v>60105689.228818208</v>
      </c>
      <c r="H37" s="340">
        <f t="shared" si="4"/>
        <v>66777182.6038225</v>
      </c>
      <c r="I37" s="340">
        <f t="shared" si="4"/>
        <v>73965561.093255177</v>
      </c>
    </row>
    <row r="38" spans="2:9" ht="14.45" x14ac:dyDescent="0.35">
      <c r="B38" s="312"/>
      <c r="C38" s="340"/>
      <c r="D38" s="340"/>
      <c r="E38" s="340"/>
      <c r="F38" s="340"/>
      <c r="G38" s="340"/>
      <c r="H38" s="340"/>
      <c r="I38" s="340"/>
    </row>
    <row r="39" spans="2:9" ht="14.45" x14ac:dyDescent="0.35">
      <c r="B39" s="312" t="s">
        <v>37</v>
      </c>
      <c r="C39" s="340">
        <f>PL!B20</f>
        <v>31175837.578127597</v>
      </c>
      <c r="D39" s="340">
        <f>PL!C20</f>
        <v>35541585.407673322</v>
      </c>
      <c r="E39" s="340">
        <f>PL!D20</f>
        <v>39985365.679172464</v>
      </c>
      <c r="F39" s="340">
        <f>PL!E20</f>
        <v>44781315.161148675</v>
      </c>
      <c r="G39" s="340">
        <f>PL!F20</f>
        <v>49953561.99716796</v>
      </c>
      <c r="H39" s="340">
        <f>PL!G20</f>
        <v>55527878.184077621</v>
      </c>
      <c r="I39" s="340">
        <f>PL!H20</f>
        <v>61531672.175024554</v>
      </c>
    </row>
    <row r="40" spans="2:9" ht="14.45" x14ac:dyDescent="0.35">
      <c r="B40" s="312"/>
      <c r="C40" s="340"/>
      <c r="D40" s="340"/>
      <c r="E40" s="340"/>
      <c r="F40" s="340"/>
      <c r="G40" s="340"/>
      <c r="H40" s="340"/>
      <c r="I40" s="340"/>
    </row>
    <row r="41" spans="2:9" ht="14.45" x14ac:dyDescent="0.35">
      <c r="B41" s="347" t="s">
        <v>38</v>
      </c>
      <c r="C41" s="367">
        <f>C37-C39</f>
        <v>6820091.6758141704</v>
      </c>
      <c r="D41" s="367">
        <f t="shared" ref="D41:I41" si="5">D37-D39</f>
        <v>7265221.3949502707</v>
      </c>
      <c r="E41" s="367">
        <f t="shared" si="5"/>
        <v>8151943.0671895742</v>
      </c>
      <c r="F41" s="367">
        <f t="shared" si="5"/>
        <v>9112528.7063191161</v>
      </c>
      <c r="G41" s="367">
        <f t="shared" si="5"/>
        <v>10152127.231650248</v>
      </c>
      <c r="H41" s="367">
        <f t="shared" si="5"/>
        <v>11249304.419744879</v>
      </c>
      <c r="I41" s="367">
        <f t="shared" si="5"/>
        <v>12433888.918230623</v>
      </c>
    </row>
    <row r="42" spans="2:9" ht="14.45" x14ac:dyDescent="0.35">
      <c r="B42" s="312"/>
      <c r="C42" s="340"/>
      <c r="D42" s="340"/>
      <c r="E42" s="340"/>
      <c r="F42" s="340"/>
      <c r="G42" s="340"/>
      <c r="H42" s="340"/>
      <c r="I42" s="340"/>
    </row>
    <row r="43" spans="2:9" ht="14.45" x14ac:dyDescent="0.35">
      <c r="B43" s="347" t="s">
        <v>40</v>
      </c>
      <c r="C43" s="367">
        <f>PL!B30+PL!B36+PL!B37</f>
        <v>3672952.6889559999</v>
      </c>
      <c r="D43" s="367">
        <f>PL!C30+PL!C36+PL!C37</f>
        <v>3787356.4535119999</v>
      </c>
      <c r="E43" s="367">
        <f>PL!D30+PL!D36+PL!D37</f>
        <v>3907947.7180679999</v>
      </c>
      <c r="F43" s="367">
        <f>PL!E30+PL!E36+PL!E37</f>
        <v>4035035.8576240004</v>
      </c>
      <c r="G43" s="367">
        <f>PL!F30+PL!F36+PL!F37</f>
        <v>4168945.7159300004</v>
      </c>
      <c r="H43" s="367">
        <f>PL!G30+PL!G36+PL!G37</f>
        <v>4210018.3789235009</v>
      </c>
      <c r="I43" s="367">
        <f>PL!H30+PL!H36+PL!H37</f>
        <v>4358611.9868388753</v>
      </c>
    </row>
    <row r="44" spans="2:9" ht="14.45" x14ac:dyDescent="0.35">
      <c r="B44" s="312"/>
      <c r="C44" s="312"/>
      <c r="D44" s="312"/>
      <c r="E44" s="312"/>
      <c r="F44" s="312"/>
      <c r="G44" s="312"/>
      <c r="H44" s="312"/>
      <c r="I44" s="312"/>
    </row>
    <row r="45" spans="2:9" ht="14.45" x14ac:dyDescent="0.35">
      <c r="B45" s="312" t="s">
        <v>39</v>
      </c>
      <c r="C45" s="394">
        <f>C43/C41</f>
        <v>0.53854887346767655</v>
      </c>
      <c r="D45" s="394">
        <f>D43/D41</f>
        <v>0.52129952380314537</v>
      </c>
      <c r="E45" s="394">
        <f>E43/E41</f>
        <v>0.47938849497084207</v>
      </c>
      <c r="F45" s="394">
        <f>F43/F41</f>
        <v>0.44280089398521072</v>
      </c>
      <c r="G45" s="394">
        <f>G43/G41</f>
        <v>0.41064750478430817</v>
      </c>
      <c r="H45" s="394">
        <f t="shared" ref="H45:I45" si="6">H43/H41</f>
        <v>0.37424699535502293</v>
      </c>
      <c r="I45" s="394">
        <f t="shared" si="6"/>
        <v>0.35054294078888376</v>
      </c>
    </row>
    <row r="47" spans="2:9" ht="14.45" x14ac:dyDescent="0.35">
      <c r="B47" s="108" t="s">
        <v>131</v>
      </c>
      <c r="C47" s="444">
        <f>AVERAGE(C45:I45)</f>
        <v>0.44535360387929851</v>
      </c>
    </row>
    <row r="49" spans="2:10" ht="41.45" customHeight="1" x14ac:dyDescent="0.25">
      <c r="B49" s="601" t="s">
        <v>418</v>
      </c>
      <c r="C49" s="601"/>
      <c r="D49" s="601"/>
      <c r="E49" s="601"/>
      <c r="F49" s="601"/>
      <c r="G49" s="601"/>
      <c r="H49" s="601"/>
      <c r="I49" s="601"/>
      <c r="J49" s="601"/>
    </row>
    <row r="53" spans="2:10" ht="14.45" x14ac:dyDescent="0.35">
      <c r="B53" s="565" t="s">
        <v>549</v>
      </c>
      <c r="C53" s="565"/>
      <c r="D53" s="565"/>
      <c r="E53" s="565"/>
      <c r="F53" s="565"/>
      <c r="G53" s="565"/>
      <c r="H53" s="565"/>
      <c r="I53" s="565"/>
    </row>
    <row r="55" spans="2:10" ht="14.45" x14ac:dyDescent="0.35">
      <c r="B55" s="273" t="s">
        <v>29</v>
      </c>
      <c r="C55" s="274" t="s">
        <v>2</v>
      </c>
      <c r="D55" s="274" t="s">
        <v>3</v>
      </c>
      <c r="E55" s="274" t="s">
        <v>4</v>
      </c>
      <c r="F55" s="274" t="s">
        <v>5</v>
      </c>
      <c r="G55" s="274" t="s">
        <v>6</v>
      </c>
      <c r="H55" s="274" t="s">
        <v>165</v>
      </c>
      <c r="I55" s="274" t="s">
        <v>164</v>
      </c>
    </row>
    <row r="56" spans="2:10" ht="14.45" x14ac:dyDescent="0.35">
      <c r="B56" s="312"/>
      <c r="C56" s="312"/>
      <c r="D56" s="312"/>
      <c r="E56" s="312"/>
      <c r="F56" s="312"/>
      <c r="G56" s="312"/>
      <c r="H56" s="312"/>
      <c r="I56" s="312"/>
    </row>
    <row r="57" spans="2:10" ht="14.45" x14ac:dyDescent="0.35">
      <c r="B57" s="312" t="s">
        <v>368</v>
      </c>
      <c r="C57" s="445">
        <f>PL!B45-PL!B47</f>
        <v>2070130.1588142994</v>
      </c>
      <c r="D57" s="445">
        <f>PL!C45-PL!C47</f>
        <v>1789633.4486760814</v>
      </c>
      <c r="E57" s="445">
        <f>PL!D45-PL!D47</f>
        <v>2361056.9066432873</v>
      </c>
      <c r="F57" s="445">
        <f>PL!E45-PL!E47</f>
        <v>2912190.813246862</v>
      </c>
      <c r="G57" s="445">
        <f>PL!F45-PL!F47</f>
        <v>3436074.408421468</v>
      </c>
      <c r="H57" s="445">
        <f>PL!G45-PL!G47</f>
        <v>3981229.2041303366</v>
      </c>
      <c r="I57" s="445">
        <f>PL!H45-PL!H47</f>
        <v>4511307.3392422311</v>
      </c>
    </row>
    <row r="58" spans="2:10" ht="14.45" x14ac:dyDescent="0.35">
      <c r="B58" s="312"/>
      <c r="C58" s="445"/>
      <c r="D58" s="445"/>
      <c r="E58" s="445"/>
      <c r="F58" s="445"/>
      <c r="G58" s="445"/>
      <c r="H58" s="445"/>
      <c r="I58" s="445"/>
    </row>
    <row r="59" spans="2:10" ht="14.45" x14ac:dyDescent="0.35">
      <c r="B59" s="312" t="s">
        <v>41</v>
      </c>
      <c r="C59" s="445">
        <f>PL!B36</f>
        <v>934623.5443999999</v>
      </c>
      <c r="D59" s="445">
        <f>PL!C36</f>
        <v>934623.5443999999</v>
      </c>
      <c r="E59" s="445">
        <f>PL!D36</f>
        <v>934623.5443999999</v>
      </c>
      <c r="F59" s="445">
        <f>PL!E36</f>
        <v>934623.5443999999</v>
      </c>
      <c r="G59" s="445">
        <f>PL!F36</f>
        <v>934623.5443999999</v>
      </c>
      <c r="H59" s="445">
        <f>PL!G36</f>
        <v>934623.5443999999</v>
      </c>
      <c r="I59" s="445">
        <f>PL!H36</f>
        <v>934623.5443999999</v>
      </c>
    </row>
    <row r="60" spans="2:10" ht="14.45" x14ac:dyDescent="0.35">
      <c r="B60" s="304" t="s">
        <v>47</v>
      </c>
      <c r="C60" s="445">
        <f>PL!B37</f>
        <v>100000</v>
      </c>
      <c r="D60" s="445">
        <f>PL!C37</f>
        <v>100000</v>
      </c>
      <c r="E60" s="445">
        <f>PL!D37</f>
        <v>100000</v>
      </c>
      <c r="F60" s="445">
        <f>PL!E37</f>
        <v>100000</v>
      </c>
      <c r="G60" s="445">
        <f>PL!F37</f>
        <v>100000</v>
      </c>
      <c r="H60" s="445">
        <f>PL!G37</f>
        <v>0</v>
      </c>
      <c r="I60" s="445">
        <f>PL!H37</f>
        <v>0</v>
      </c>
    </row>
    <row r="61" spans="2:10" ht="14.45" x14ac:dyDescent="0.35">
      <c r="B61" s="312"/>
      <c r="C61" s="445"/>
      <c r="D61" s="445"/>
      <c r="E61" s="445"/>
      <c r="F61" s="445"/>
      <c r="G61" s="445"/>
      <c r="H61" s="445"/>
      <c r="I61" s="445"/>
    </row>
    <row r="62" spans="2:10" ht="14.45" x14ac:dyDescent="0.35">
      <c r="B62" s="312" t="s">
        <v>31</v>
      </c>
      <c r="C62" s="445">
        <f>SUM(C57:C60)</f>
        <v>3104753.7032142994</v>
      </c>
      <c r="D62" s="445">
        <f t="shared" ref="D62:I62" si="7">SUM(D57:D60)</f>
        <v>2824256.9930760814</v>
      </c>
      <c r="E62" s="445">
        <f t="shared" si="7"/>
        <v>3395680.4510432873</v>
      </c>
      <c r="F62" s="445">
        <f t="shared" si="7"/>
        <v>3946814.357646862</v>
      </c>
      <c r="G62" s="445">
        <f t="shared" si="7"/>
        <v>4470697.952821468</v>
      </c>
      <c r="H62" s="445">
        <f t="shared" si="7"/>
        <v>4915852.7485303367</v>
      </c>
      <c r="I62" s="445">
        <f t="shared" si="7"/>
        <v>5445930.8836422311</v>
      </c>
    </row>
    <row r="63" spans="2:10" ht="14.45" x14ac:dyDescent="0.35">
      <c r="B63" s="312"/>
      <c r="C63" s="312"/>
      <c r="D63" s="312"/>
      <c r="E63" s="312"/>
      <c r="F63" s="312"/>
      <c r="G63" s="312"/>
      <c r="H63" s="312"/>
      <c r="I63" s="312"/>
    </row>
    <row r="64" spans="2:10" ht="14.45" x14ac:dyDescent="0.35">
      <c r="B64" s="446" t="s">
        <v>42</v>
      </c>
      <c r="C64" s="348">
        <f>1/1.1</f>
        <v>0.90909090909090906</v>
      </c>
      <c r="D64" s="348">
        <f t="shared" ref="D64:I64" si="8">C64/1.1</f>
        <v>0.82644628099173545</v>
      </c>
      <c r="E64" s="348">
        <f t="shared" si="8"/>
        <v>0.75131480090157765</v>
      </c>
      <c r="F64" s="348">
        <f t="shared" si="8"/>
        <v>0.68301345536507052</v>
      </c>
      <c r="G64" s="348">
        <f t="shared" si="8"/>
        <v>0.62092132305915493</v>
      </c>
      <c r="H64" s="348">
        <f t="shared" si="8"/>
        <v>0.56447393005377711</v>
      </c>
      <c r="I64" s="348">
        <f t="shared" si="8"/>
        <v>0.51315811823070645</v>
      </c>
    </row>
    <row r="65" spans="2:10" ht="14.45" x14ac:dyDescent="0.35">
      <c r="B65" s="312"/>
      <c r="C65" s="312"/>
      <c r="D65" s="312"/>
      <c r="E65" s="312"/>
      <c r="F65" s="312"/>
      <c r="G65" s="312"/>
      <c r="H65" s="312"/>
      <c r="I65" s="312"/>
    </row>
    <row r="66" spans="2:10" ht="14.45" x14ac:dyDescent="0.35">
      <c r="B66" s="446" t="s">
        <v>43</v>
      </c>
      <c r="C66" s="340">
        <f>C62*C64</f>
        <v>2822503.366558454</v>
      </c>
      <c r="D66" s="340">
        <f t="shared" ref="D66:I66" si="9">D62*D64</f>
        <v>2334096.6884926292</v>
      </c>
      <c r="E66" s="340">
        <f t="shared" si="9"/>
        <v>2551224.9820009666</v>
      </c>
      <c r="F66" s="340">
        <f t="shared" si="9"/>
        <v>2695727.3121008547</v>
      </c>
      <c r="G66" s="340">
        <f t="shared" si="9"/>
        <v>2775951.6878637611</v>
      </c>
      <c r="H66" s="340">
        <f t="shared" si="9"/>
        <v>2774870.7205285812</v>
      </c>
      <c r="I66" s="340">
        <f t="shared" si="9"/>
        <v>2794623.6442643357</v>
      </c>
    </row>
    <row r="67" spans="2:10" ht="14.45" x14ac:dyDescent="0.35">
      <c r="C67" s="447"/>
      <c r="D67" s="447"/>
      <c r="E67" s="447"/>
      <c r="F67" s="447"/>
      <c r="G67" s="447"/>
      <c r="H67" s="447"/>
      <c r="I67" s="447"/>
    </row>
    <row r="68" spans="2:10" ht="14.45" x14ac:dyDescent="0.35">
      <c r="B68" s="448" t="s">
        <v>44</v>
      </c>
      <c r="C68" s="447">
        <f>SUM(C66:I66)</f>
        <v>18748998.401809584</v>
      </c>
      <c r="D68" s="447"/>
      <c r="E68" s="447"/>
      <c r="F68" s="447"/>
      <c r="G68" s="447"/>
      <c r="H68" s="447"/>
      <c r="I68" s="447"/>
    </row>
    <row r="69" spans="2:10" ht="14.45" x14ac:dyDescent="0.35">
      <c r="C69" s="447"/>
      <c r="D69" s="447"/>
      <c r="E69" s="447"/>
      <c r="F69" s="447"/>
      <c r="G69" s="447"/>
      <c r="H69" s="447"/>
      <c r="I69" s="447"/>
    </row>
    <row r="70" spans="2:10" ht="14.45" x14ac:dyDescent="0.35">
      <c r="B70" s="448" t="s">
        <v>45</v>
      </c>
      <c r="C70" s="447">
        <f>'Cost MOF'!D12</f>
        <v>18057011.824831069</v>
      </c>
      <c r="D70" s="447"/>
      <c r="E70" s="447"/>
      <c r="F70" s="447"/>
      <c r="G70" s="447"/>
      <c r="H70" s="447"/>
      <c r="I70" s="447"/>
    </row>
    <row r="71" spans="2:10" ht="14.45" x14ac:dyDescent="0.35">
      <c r="C71" s="449"/>
    </row>
    <row r="72" spans="2:10" ht="14.45" x14ac:dyDescent="0.35">
      <c r="B72" s="448" t="s">
        <v>46</v>
      </c>
      <c r="C72" s="449">
        <f>C68-C70</f>
        <v>691986.57697851583</v>
      </c>
    </row>
    <row r="74" spans="2:10" ht="35.1" customHeight="1" x14ac:dyDescent="0.25">
      <c r="B74" s="576" t="s">
        <v>419</v>
      </c>
      <c r="C74" s="576"/>
      <c r="D74" s="576"/>
      <c r="E74" s="576"/>
      <c r="F74" s="576"/>
      <c r="G74" s="576"/>
      <c r="H74" s="576"/>
      <c r="I74" s="576"/>
      <c r="J74" s="576"/>
    </row>
    <row r="75" spans="2:10" ht="14.45" x14ac:dyDescent="0.35">
      <c r="B75" s="565" t="s">
        <v>550</v>
      </c>
      <c r="C75" s="565"/>
      <c r="D75" s="565"/>
      <c r="E75" s="565"/>
      <c r="F75" s="565"/>
      <c r="G75" s="565"/>
      <c r="H75" s="565"/>
      <c r="I75" s="565"/>
    </row>
    <row r="77" spans="2:10" ht="14.45" x14ac:dyDescent="0.35">
      <c r="B77" s="274" t="s">
        <v>0</v>
      </c>
      <c r="C77" s="274" t="s">
        <v>2</v>
      </c>
      <c r="D77" s="274" t="s">
        <v>3</v>
      </c>
      <c r="E77" s="274" t="s">
        <v>4</v>
      </c>
      <c r="F77" s="274" t="s">
        <v>5</v>
      </c>
      <c r="G77" s="274" t="s">
        <v>6</v>
      </c>
      <c r="H77" s="274" t="s">
        <v>165</v>
      </c>
      <c r="I77" s="274" t="s">
        <v>164</v>
      </c>
    </row>
    <row r="78" spans="2:10" ht="14.45" x14ac:dyDescent="0.35">
      <c r="B78" s="450"/>
      <c r="C78" s="451"/>
      <c r="D78" s="451"/>
      <c r="E78" s="451"/>
      <c r="F78" s="451"/>
      <c r="G78" s="451"/>
      <c r="H78" s="451"/>
      <c r="I78" s="451"/>
    </row>
    <row r="79" spans="2:10" ht="14.45" x14ac:dyDescent="0.35">
      <c r="B79" s="347" t="s">
        <v>27</v>
      </c>
      <c r="C79" s="340">
        <f>PL!B45</f>
        <v>2070130.1588142994</v>
      </c>
      <c r="D79" s="340">
        <f>PL!C45</f>
        <v>2307165.9883796563</v>
      </c>
      <c r="E79" s="340">
        <f>PL!D45</f>
        <v>2937848.4037382016</v>
      </c>
      <c r="F79" s="340">
        <f>PL!E45</f>
        <v>3646652.9141814122</v>
      </c>
      <c r="G79" s="340">
        <f>PL!F45</f>
        <v>4347737.6369668208</v>
      </c>
      <c r="H79" s="340">
        <f>PL!G45</f>
        <v>5068163.6133720418</v>
      </c>
      <c r="I79" s="340">
        <f>PL!H45</f>
        <v>5778348.2425852418</v>
      </c>
    </row>
    <row r="80" spans="2:10" ht="14.45" x14ac:dyDescent="0.35">
      <c r="B80" s="312"/>
      <c r="C80" s="312"/>
      <c r="D80" s="312"/>
      <c r="E80" s="312"/>
      <c r="F80" s="312"/>
      <c r="G80" s="312"/>
      <c r="H80" s="312"/>
      <c r="I80" s="312"/>
    </row>
    <row r="81" spans="2:10" ht="14.45" x14ac:dyDescent="0.35">
      <c r="B81" s="347" t="s">
        <v>123</v>
      </c>
      <c r="C81" s="597">
        <f>AVERAGE(C79:I79)</f>
        <v>3736578.1368625248</v>
      </c>
      <c r="D81" s="597"/>
      <c r="E81" s="597"/>
      <c r="F81" s="597"/>
      <c r="G81" s="597"/>
      <c r="H81" s="597"/>
      <c r="I81" s="597"/>
    </row>
    <row r="82" spans="2:10" ht="14.45" x14ac:dyDescent="0.35">
      <c r="B82" s="347" t="s">
        <v>124</v>
      </c>
      <c r="C82" s="597">
        <f>'Cost MOF'!D12</f>
        <v>18057011.824831069</v>
      </c>
      <c r="D82" s="597"/>
      <c r="E82" s="597"/>
      <c r="F82" s="597"/>
      <c r="G82" s="597"/>
      <c r="H82" s="597"/>
      <c r="I82" s="597"/>
    </row>
    <row r="83" spans="2:10" ht="14.45" x14ac:dyDescent="0.35">
      <c r="B83" s="312"/>
      <c r="C83" s="312"/>
      <c r="D83" s="312"/>
      <c r="E83" s="312"/>
      <c r="F83" s="312"/>
      <c r="G83" s="312"/>
      <c r="H83" s="312"/>
      <c r="I83" s="312"/>
    </row>
    <row r="84" spans="2:10" ht="14.45" x14ac:dyDescent="0.35">
      <c r="B84" s="227" t="s">
        <v>125</v>
      </c>
      <c r="C84" s="598">
        <f>C81/C82</f>
        <v>0.20693225286169309</v>
      </c>
      <c r="D84" s="598"/>
      <c r="E84" s="598"/>
      <c r="F84" s="598"/>
      <c r="G84" s="598"/>
      <c r="H84" s="598"/>
      <c r="I84" s="598"/>
    </row>
    <row r="87" spans="2:10" x14ac:dyDescent="0.25">
      <c r="B87" s="596" t="s">
        <v>420</v>
      </c>
      <c r="C87" s="596"/>
      <c r="D87" s="596"/>
      <c r="E87" s="596"/>
      <c r="F87" s="596"/>
      <c r="G87" s="596"/>
      <c r="H87" s="596"/>
      <c r="I87" s="596"/>
    </row>
    <row r="89" spans="2:10" x14ac:dyDescent="0.25">
      <c r="B89" s="565" t="s">
        <v>551</v>
      </c>
      <c r="C89" s="565"/>
      <c r="D89" s="565"/>
      <c r="E89" s="565"/>
      <c r="F89" s="565"/>
      <c r="G89" s="565"/>
      <c r="H89" s="565"/>
      <c r="I89" s="565"/>
      <c r="J89" s="565"/>
    </row>
    <row r="91" spans="2:10" x14ac:dyDescent="0.25">
      <c r="B91" s="432" t="s">
        <v>0</v>
      </c>
      <c r="C91" s="432" t="s">
        <v>332</v>
      </c>
      <c r="D91" s="432" t="s">
        <v>2</v>
      </c>
      <c r="E91" s="432" t="s">
        <v>3</v>
      </c>
      <c r="F91" s="432" t="s">
        <v>4</v>
      </c>
      <c r="G91" s="432" t="s">
        <v>5</v>
      </c>
      <c r="H91" s="432" t="s">
        <v>6</v>
      </c>
      <c r="I91" s="432" t="s">
        <v>165</v>
      </c>
      <c r="J91" s="432" t="s">
        <v>164</v>
      </c>
    </row>
    <row r="92" spans="2:10" x14ac:dyDescent="0.25">
      <c r="B92" s="450"/>
      <c r="C92" s="450"/>
      <c r="D92" s="451"/>
      <c r="E92" s="451"/>
      <c r="F92" s="451"/>
      <c r="G92" s="451"/>
      <c r="H92" s="451"/>
      <c r="I92" s="451"/>
      <c r="J92" s="451"/>
    </row>
    <row r="93" spans="2:10" x14ac:dyDescent="0.25">
      <c r="B93" s="360" t="s">
        <v>277</v>
      </c>
      <c r="C93" s="452">
        <f>'Cost MOF'!D12</f>
        <v>18057011.824831069</v>
      </c>
      <c r="D93" s="451"/>
      <c r="E93" s="451"/>
      <c r="F93" s="451"/>
      <c r="G93" s="451"/>
      <c r="H93" s="451"/>
      <c r="I93" s="451"/>
      <c r="J93" s="451"/>
    </row>
    <row r="94" spans="2:10" x14ac:dyDescent="0.25">
      <c r="B94" s="312" t="str">
        <f>B57</f>
        <v>Profit after Tax &amp; Dividend</v>
      </c>
      <c r="C94" s="312"/>
      <c r="D94" s="340">
        <f>PL!B45</f>
        <v>2070130.1588142994</v>
      </c>
      <c r="E94" s="340">
        <f>PL!C45</f>
        <v>2307165.9883796563</v>
      </c>
      <c r="F94" s="340">
        <f>PL!D45</f>
        <v>2937848.4037382016</v>
      </c>
      <c r="G94" s="340">
        <f>PL!E45</f>
        <v>3646652.9141814122</v>
      </c>
      <c r="H94" s="340">
        <f>PL!F45</f>
        <v>4347737.6369668208</v>
      </c>
      <c r="I94" s="340">
        <f>PL!G45</f>
        <v>5068163.6133720418</v>
      </c>
      <c r="J94" s="340">
        <f>PL!H45</f>
        <v>5778348.2425852418</v>
      </c>
    </row>
    <row r="95" spans="2:10" x14ac:dyDescent="0.25">
      <c r="B95" s="312" t="str">
        <f>B59</f>
        <v>Add: Deprication</v>
      </c>
      <c r="C95" s="312"/>
      <c r="D95" s="340">
        <f>PL!B36</f>
        <v>934623.5443999999</v>
      </c>
      <c r="E95" s="340">
        <f>PL!C36</f>
        <v>934623.5443999999</v>
      </c>
      <c r="F95" s="340">
        <f>PL!D36</f>
        <v>934623.5443999999</v>
      </c>
      <c r="G95" s="340">
        <f>PL!E36</f>
        <v>934623.5443999999</v>
      </c>
      <c r="H95" s="340">
        <f>PL!F36</f>
        <v>934623.5443999999</v>
      </c>
      <c r="I95" s="340">
        <f>PL!G36</f>
        <v>934623.5443999999</v>
      </c>
      <c r="J95" s="340">
        <f>PL!H36</f>
        <v>934623.5443999999</v>
      </c>
    </row>
    <row r="96" spans="2:10" x14ac:dyDescent="0.25">
      <c r="B96" s="312" t="str">
        <f>B60</f>
        <v>Add. Preliminary exp Written off</v>
      </c>
      <c r="C96" s="312"/>
      <c r="D96" s="340">
        <f>PL!B37</f>
        <v>100000</v>
      </c>
      <c r="E96" s="340">
        <f>PL!C37</f>
        <v>100000</v>
      </c>
      <c r="F96" s="340">
        <f>PL!D37</f>
        <v>100000</v>
      </c>
      <c r="G96" s="340">
        <f>PL!E37</f>
        <v>100000</v>
      </c>
      <c r="H96" s="340">
        <f>PL!F37</f>
        <v>100000</v>
      </c>
      <c r="I96" s="340">
        <f>PL!G37</f>
        <v>0</v>
      </c>
      <c r="J96" s="340">
        <f>PL!H37</f>
        <v>0</v>
      </c>
    </row>
    <row r="97" spans="2:10" x14ac:dyDescent="0.25">
      <c r="B97" s="312" t="str">
        <f>B62</f>
        <v xml:space="preserve">Net Cash Accrual (A)      </v>
      </c>
      <c r="C97" s="312"/>
      <c r="D97" s="309">
        <f>SUM(D94:D96)</f>
        <v>3104753.7032142994</v>
      </c>
      <c r="E97" s="309">
        <f t="shared" ref="E97:J97" si="10">SUM(E94:E96)</f>
        <v>3341789.5327796564</v>
      </c>
      <c r="F97" s="309">
        <f t="shared" si="10"/>
        <v>3972471.9481382016</v>
      </c>
      <c r="G97" s="309">
        <f t="shared" si="10"/>
        <v>4681276.4585814122</v>
      </c>
      <c r="H97" s="309">
        <f t="shared" si="10"/>
        <v>5382361.1813668208</v>
      </c>
      <c r="I97" s="309">
        <f t="shared" si="10"/>
        <v>6002787.1577720419</v>
      </c>
      <c r="J97" s="309">
        <f t="shared" si="10"/>
        <v>6712971.7869852418</v>
      </c>
    </row>
    <row r="98" spans="2:10" x14ac:dyDescent="0.25">
      <c r="B98" s="360" t="s">
        <v>278</v>
      </c>
      <c r="C98" s="228"/>
      <c r="D98" s="367">
        <f>D97-C93</f>
        <v>-14952258.12161677</v>
      </c>
      <c r="E98" s="367">
        <f>D98+E97</f>
        <v>-11610468.588837113</v>
      </c>
      <c r="F98" s="367">
        <f>E98+F97</f>
        <v>-7637996.6406989116</v>
      </c>
      <c r="G98" s="367">
        <f>F98+G97</f>
        <v>-2956720.1821174994</v>
      </c>
      <c r="H98" s="367">
        <f>G98+H97</f>
        <v>2425640.9992493214</v>
      </c>
      <c r="I98" s="453"/>
      <c r="J98" s="453"/>
    </row>
    <row r="100" spans="2:10" x14ac:dyDescent="0.25">
      <c r="B100" s="454" t="s">
        <v>279</v>
      </c>
      <c r="D100" s="455">
        <f>4+(-G98/H97)</f>
        <v>4.5493351491076739</v>
      </c>
    </row>
    <row r="102" spans="2:10" x14ac:dyDescent="0.25">
      <c r="B102" s="596" t="s">
        <v>421</v>
      </c>
      <c r="C102" s="596"/>
      <c r="D102" s="596"/>
      <c r="E102" s="596"/>
      <c r="F102" s="596"/>
      <c r="G102" s="596"/>
      <c r="H102" s="596"/>
      <c r="I102" s="596"/>
      <c r="J102" s="596"/>
    </row>
    <row r="103" spans="2:10" x14ac:dyDescent="0.25">
      <c r="B103" s="565"/>
      <c r="C103" s="565"/>
      <c r="D103" s="565"/>
      <c r="E103" s="565"/>
      <c r="F103" s="565"/>
      <c r="G103" s="565"/>
      <c r="H103" s="565"/>
      <c r="I103" s="565"/>
    </row>
    <row r="104" spans="2:10" x14ac:dyDescent="0.25">
      <c r="B104" s="380"/>
      <c r="C104" s="380"/>
      <c r="D104" s="380"/>
      <c r="E104" s="380"/>
      <c r="F104" s="380"/>
      <c r="G104" s="380"/>
      <c r="H104" s="380"/>
      <c r="I104" s="380"/>
    </row>
    <row r="105" spans="2:10" x14ac:dyDescent="0.25">
      <c r="B105" s="380"/>
      <c r="C105" s="380"/>
      <c r="D105" s="380"/>
      <c r="E105" s="380"/>
      <c r="F105" s="380"/>
      <c r="G105" s="380"/>
      <c r="H105" s="380"/>
      <c r="I105" s="380"/>
    </row>
    <row r="106" spans="2:10" x14ac:dyDescent="0.25">
      <c r="B106" s="565" t="s">
        <v>552</v>
      </c>
      <c r="C106" s="565"/>
      <c r="D106" s="565"/>
      <c r="E106" s="565"/>
      <c r="F106" s="565"/>
      <c r="G106" s="565"/>
      <c r="H106" s="565"/>
      <c r="I106" s="565"/>
    </row>
    <row r="107" spans="2:10" x14ac:dyDescent="0.25">
      <c r="B107" s="274" t="s">
        <v>0</v>
      </c>
      <c r="C107" s="274" t="s">
        <v>2</v>
      </c>
      <c r="D107" s="274" t="s">
        <v>3</v>
      </c>
      <c r="E107" s="274" t="s">
        <v>4</v>
      </c>
      <c r="F107" s="274" t="s">
        <v>5</v>
      </c>
      <c r="G107" s="274" t="s">
        <v>6</v>
      </c>
      <c r="H107" s="274" t="s">
        <v>165</v>
      </c>
      <c r="I107" s="274" t="s">
        <v>164</v>
      </c>
    </row>
    <row r="108" spans="2:10" x14ac:dyDescent="0.25">
      <c r="B108" s="450"/>
      <c r="C108" s="451"/>
      <c r="D108" s="451"/>
      <c r="E108" s="451"/>
      <c r="F108" s="451"/>
      <c r="G108" s="451"/>
      <c r="H108" s="451"/>
      <c r="I108" s="451"/>
    </row>
    <row r="109" spans="2:10" x14ac:dyDescent="0.25">
      <c r="B109" s="312" t="s">
        <v>335</v>
      </c>
      <c r="C109" s="340">
        <f>PL!B34</f>
        <v>4181762.5312581733</v>
      </c>
      <c r="D109" s="340">
        <f>PL!C34</f>
        <v>4512488.4858382717</v>
      </c>
      <c r="E109" s="340">
        <f>PL!D34</f>
        <v>5278618.8935215771</v>
      </c>
      <c r="F109" s="340">
        <f>PL!E34</f>
        <v>6112116.3930951133</v>
      </c>
      <c r="G109" s="340">
        <f>PL!F34</f>
        <v>7017805.0601202473</v>
      </c>
      <c r="H109" s="340">
        <f>PL!G34</f>
        <v>7973909.58522138</v>
      </c>
      <c r="I109" s="340">
        <f>PL!H34</f>
        <v>9009900.4757917449</v>
      </c>
    </row>
    <row r="110" spans="2:10" x14ac:dyDescent="0.25">
      <c r="B110" s="347" t="s">
        <v>1</v>
      </c>
      <c r="C110" s="456">
        <f t="shared" ref="C110:I110" si="11">SUM(C109:C109)</f>
        <v>4181762.5312581733</v>
      </c>
      <c r="D110" s="456">
        <f t="shared" si="11"/>
        <v>4512488.4858382717</v>
      </c>
      <c r="E110" s="456">
        <f t="shared" si="11"/>
        <v>5278618.8935215771</v>
      </c>
      <c r="F110" s="456">
        <f t="shared" si="11"/>
        <v>6112116.3930951133</v>
      </c>
      <c r="G110" s="456">
        <f t="shared" si="11"/>
        <v>7017805.0601202473</v>
      </c>
      <c r="H110" s="456">
        <f t="shared" si="11"/>
        <v>7973909.58522138</v>
      </c>
      <c r="I110" s="456">
        <f t="shared" si="11"/>
        <v>9009900.4757917449</v>
      </c>
    </row>
    <row r="111" spans="2:10" x14ac:dyDescent="0.25">
      <c r="B111" s="312"/>
      <c r="C111" s="312"/>
      <c r="D111" s="312"/>
      <c r="E111" s="312"/>
      <c r="F111" s="312"/>
      <c r="G111" s="312"/>
      <c r="H111" s="312"/>
      <c r="I111" s="312"/>
    </row>
    <row r="112" spans="2:10" x14ac:dyDescent="0.25">
      <c r="B112" s="360" t="s">
        <v>280</v>
      </c>
      <c r="C112" s="367">
        <f>CF!C26+CF!C27</f>
        <v>1430382.4808455603</v>
      </c>
      <c r="D112" s="367">
        <f>CF!D26+CF!D27</f>
        <v>2132383.2016911209</v>
      </c>
      <c r="E112" s="367">
        <f>CF!E26+CF!E27</f>
        <v>2132383.2016911204</v>
      </c>
      <c r="F112" s="367">
        <f>CF!F26+CF!F27</f>
        <v>2132383.2016911209</v>
      </c>
      <c r="G112" s="367">
        <f>CF!G26+CF!G27</f>
        <v>0</v>
      </c>
      <c r="H112" s="367">
        <f>CF!H26+CF!H27</f>
        <v>0</v>
      </c>
      <c r="I112" s="367">
        <f>CF!I26+CF!I27</f>
        <v>0</v>
      </c>
    </row>
    <row r="113" spans="2:10" x14ac:dyDescent="0.25">
      <c r="B113" s="312"/>
      <c r="C113" s="312"/>
      <c r="D113" s="312"/>
      <c r="E113" s="312"/>
      <c r="F113" s="312"/>
      <c r="G113" s="312"/>
      <c r="H113" s="312"/>
      <c r="I113" s="312"/>
    </row>
    <row r="114" spans="2:10" x14ac:dyDescent="0.25">
      <c r="B114" s="366" t="s">
        <v>333</v>
      </c>
      <c r="C114" s="453">
        <f>C110/C112</f>
        <v>2.9235275090800572</v>
      </c>
      <c r="D114" s="453">
        <f t="shared" ref="D114:F114" si="12">D110/D112</f>
        <v>2.11617146592581</v>
      </c>
      <c r="E114" s="453">
        <f t="shared" si="12"/>
        <v>2.4754551101956181</v>
      </c>
      <c r="F114" s="453">
        <f t="shared" si="12"/>
        <v>2.8663311492267436</v>
      </c>
      <c r="G114" s="453"/>
      <c r="H114" s="453"/>
      <c r="I114" s="453"/>
    </row>
    <row r="116" spans="2:10" x14ac:dyDescent="0.25">
      <c r="B116" s="192" t="s">
        <v>334</v>
      </c>
      <c r="C116" s="345">
        <f>AVERAGE(C114:I114)</f>
        <v>2.5953713086070573</v>
      </c>
    </row>
    <row r="118" spans="2:10" ht="29.45" customHeight="1" x14ac:dyDescent="0.25">
      <c r="B118" s="576" t="s">
        <v>422</v>
      </c>
      <c r="C118" s="576"/>
      <c r="D118" s="576"/>
      <c r="E118" s="576"/>
      <c r="F118" s="576"/>
      <c r="G118" s="576"/>
      <c r="H118" s="576"/>
      <c r="I118" s="576"/>
      <c r="J118" s="576"/>
    </row>
    <row r="155" spans="2:18" x14ac:dyDescent="0.25">
      <c r="B155" s="592" t="s">
        <v>553</v>
      </c>
      <c r="C155" s="593"/>
      <c r="D155" s="593"/>
      <c r="E155" s="593"/>
      <c r="F155" s="593"/>
      <c r="G155" s="593"/>
      <c r="H155" s="593"/>
      <c r="I155" s="593"/>
      <c r="K155" s="565"/>
      <c r="L155" s="565"/>
      <c r="M155" s="565"/>
      <c r="N155" s="565"/>
      <c r="O155" s="565"/>
      <c r="P155" s="565"/>
      <c r="Q155" s="565"/>
      <c r="R155" s="565"/>
    </row>
    <row r="156" spans="2:18" x14ac:dyDescent="0.25">
      <c r="B156" s="273" t="s">
        <v>345</v>
      </c>
      <c r="C156" s="274" t="s">
        <v>2</v>
      </c>
      <c r="D156" s="274" t="s">
        <v>3</v>
      </c>
      <c r="E156" s="274" t="s">
        <v>4</v>
      </c>
      <c r="F156" s="274" t="s">
        <v>5</v>
      </c>
      <c r="G156" s="274" t="s">
        <v>6</v>
      </c>
      <c r="H156" s="274" t="s">
        <v>165</v>
      </c>
      <c r="I156" s="274" t="s">
        <v>164</v>
      </c>
    </row>
    <row r="157" spans="2:18" x14ac:dyDescent="0.25">
      <c r="B157" s="457" t="str">
        <f>PL!A5</f>
        <v>Facility 1 - Cleaning &amp; Grading</v>
      </c>
      <c r="C157" s="458">
        <f>PL!B5*(1+$L$158)</f>
        <v>31145071.379038855</v>
      </c>
      <c r="D157" s="458">
        <f>PL!C5*(1+$L$158)</f>
        <v>35646638.027548373</v>
      </c>
      <c r="E157" s="458">
        <f>PL!D5*(1+$L$158)</f>
        <v>40309596.303590499</v>
      </c>
      <c r="F157" s="458">
        <f>PL!E5*(1+$L$158)</f>
        <v>45349733.812167995</v>
      </c>
      <c r="G157" s="458">
        <f>PL!F5*(1+$L$158)</f>
        <v>50793111.080844253</v>
      </c>
      <c r="H157" s="458">
        <f>PL!G5*(1+$L$158)</f>
        <v>56667451.741857715</v>
      </c>
      <c r="I157" s="458">
        <f>PL!H5*(1+$L$158)</f>
        <v>63002243.691270418</v>
      </c>
    </row>
    <row r="158" spans="2:18" x14ac:dyDescent="0.25">
      <c r="B158" s="457" t="str">
        <f>PL!A6</f>
        <v>Facility 2 - Processing Unit- Ragi Mill</v>
      </c>
      <c r="C158" s="458">
        <f>PL!B6*(1+$L$158)</f>
        <v>6369254.3376000021</v>
      </c>
      <c r="D158" s="458">
        <f>PL!C6*(1+$L$158)</f>
        <v>6776886.6152064018</v>
      </c>
      <c r="E158" s="458">
        <f>PL!D6*(1+$L$158)</f>
        <v>7560464.1300896425</v>
      </c>
      <c r="F158" s="458">
        <f>PL!E6*(1+$L$158)</f>
        <v>8405457.1799231917</v>
      </c>
      <c r="G158" s="458">
        <f>PL!F6*(1+$L$158)</f>
        <v>9316048.3744148705</v>
      </c>
      <c r="H158" s="458">
        <f>PL!G6*(1+$L$158)</f>
        <v>10296685.045405913</v>
      </c>
      <c r="I158" s="458">
        <f>PL!H6*(1+$L$158)</f>
        <v>11352095.262560016</v>
      </c>
      <c r="K158" s="108" t="s">
        <v>364</v>
      </c>
      <c r="L158" s="459">
        <v>0.05</v>
      </c>
    </row>
    <row r="159" spans="2:18" x14ac:dyDescent="0.25">
      <c r="B159" s="457" t="str">
        <f>PL!A7</f>
        <v>Facility 3 - Warehouse</v>
      </c>
      <c r="C159" s="458">
        <f>PL!B7*(1+$L$158)</f>
        <v>220500</v>
      </c>
      <c r="D159" s="458">
        <f>PL!C7*(1+$L$158)</f>
        <v>254677.50000000003</v>
      </c>
      <c r="E159" s="458">
        <f>PL!D7*(1+$L$158)</f>
        <v>291721.50000000006</v>
      </c>
      <c r="F159" s="458">
        <f>PL!E7*(1+$L$158)</f>
        <v>331833.20625000016</v>
      </c>
      <c r="G159" s="458">
        <f>PL!F7*(1+$L$158)</f>
        <v>375226.77937500016</v>
      </c>
      <c r="H159" s="458">
        <f>PL!G7*(1+$L$158)</f>
        <v>393988.11834375019</v>
      </c>
      <c r="I159" s="458">
        <f>PL!H7*(1+$L$158)</f>
        <v>413687.5242609377</v>
      </c>
      <c r="K159" s="108" t="s">
        <v>365</v>
      </c>
      <c r="L159" s="459">
        <v>0.05</v>
      </c>
    </row>
    <row r="160" spans="2:18" x14ac:dyDescent="0.25">
      <c r="B160" s="457" t="str">
        <f>PL!A8</f>
        <v xml:space="preserve">Facility 4 - Custom Hiring </v>
      </c>
      <c r="C160" s="458">
        <f>PL!B8*(1+$L$158)</f>
        <v>2160900</v>
      </c>
      <c r="D160" s="458">
        <f>PL!C8*(1+$L$158)</f>
        <v>2268945</v>
      </c>
      <c r="E160" s="458">
        <f>PL!D8*(1+$L$158)</f>
        <v>2382392.25</v>
      </c>
      <c r="F160" s="458">
        <f>PL!E8*(1+$L$158)</f>
        <v>2501511.8625000007</v>
      </c>
      <c r="G160" s="458">
        <f>PL!F8*(1+$L$158)</f>
        <v>2626587.4556250009</v>
      </c>
      <c r="H160" s="458">
        <f>PL!G8*(1+$L$158)</f>
        <v>2757916.828406251</v>
      </c>
      <c r="I160" s="458">
        <f>PL!H8*(1+$L$158)</f>
        <v>2895812.6698265639</v>
      </c>
    </row>
    <row r="161" spans="2:9" x14ac:dyDescent="0.25">
      <c r="B161" s="457" t="str">
        <f>PL!A9</f>
        <v>Facility 5 - Agri Input Centre</v>
      </c>
      <c r="C161" s="458">
        <f>PL!B9*(1+$L$158)</f>
        <v>0</v>
      </c>
      <c r="D161" s="458">
        <f>PL!C9*(1+$L$158)</f>
        <v>0</v>
      </c>
      <c r="E161" s="458">
        <f>PL!D9*(1+$L$158)</f>
        <v>0</v>
      </c>
      <c r="F161" s="458">
        <f>PL!E9*(1+$L$158)</f>
        <v>0</v>
      </c>
      <c r="G161" s="458">
        <f>PL!F9*(1+$L$158)</f>
        <v>0</v>
      </c>
      <c r="H161" s="458">
        <f>PL!G9*(1+$L$158)</f>
        <v>0</v>
      </c>
      <c r="I161" s="458">
        <f>PL!H9*(1+$L$158)</f>
        <v>0</v>
      </c>
    </row>
    <row r="162" spans="2:9" x14ac:dyDescent="0.25">
      <c r="B162" s="457" t="str">
        <f>PL!A10</f>
        <v>Facility 6 - Processing Unit - Horti Commodity</v>
      </c>
      <c r="C162" s="458">
        <f>PL!B10*(1+$L$158)</f>
        <v>0</v>
      </c>
      <c r="D162" s="458">
        <f>PL!C10*(1+$L$158)</f>
        <v>0</v>
      </c>
      <c r="E162" s="458">
        <f>PL!D10*(1+$L$158)</f>
        <v>0</v>
      </c>
      <c r="F162" s="458">
        <f>PL!E10*(1+$L$158)</f>
        <v>0</v>
      </c>
      <c r="G162" s="458">
        <f>PL!F10*(1+$L$158)</f>
        <v>0</v>
      </c>
      <c r="H162" s="458">
        <f>PL!G10*(1+$L$158)</f>
        <v>0</v>
      </c>
      <c r="I162" s="458">
        <f>PL!H10*(1+$L$158)</f>
        <v>0</v>
      </c>
    </row>
    <row r="163" spans="2:9" x14ac:dyDescent="0.25">
      <c r="B163" s="457" t="e">
        <f>PL!#REF!</f>
        <v>#REF!</v>
      </c>
      <c r="C163" s="458" t="e">
        <f>PL!#REF!*(1+$L$158)</f>
        <v>#REF!</v>
      </c>
      <c r="D163" s="458" t="e">
        <f>PL!#REF!*(1+$L$158)</f>
        <v>#REF!</v>
      </c>
      <c r="E163" s="458" t="e">
        <f>PL!#REF!*(1+$L$158)</f>
        <v>#REF!</v>
      </c>
      <c r="F163" s="458" t="e">
        <f>PL!#REF!*(1+$L$158)</f>
        <v>#REF!</v>
      </c>
      <c r="G163" s="458" t="e">
        <f>PL!#REF!*(1+$L$158)</f>
        <v>#REF!</v>
      </c>
      <c r="H163" s="458" t="e">
        <f>PL!#REF!*(1+$L$158)</f>
        <v>#REF!</v>
      </c>
      <c r="I163" s="458" t="e">
        <f>PL!#REF!*(1+$L$158)</f>
        <v>#REF!</v>
      </c>
    </row>
    <row r="164" spans="2:9" x14ac:dyDescent="0.25">
      <c r="B164" s="457" t="s">
        <v>346</v>
      </c>
      <c r="C164" s="458" t="e">
        <f>SUM(C157:C163)</f>
        <v>#REF!</v>
      </c>
      <c r="D164" s="458" t="e">
        <f t="shared" ref="D164:I164" si="13">SUM(D157:D163)</f>
        <v>#REF!</v>
      </c>
      <c r="E164" s="458" t="e">
        <f t="shared" si="13"/>
        <v>#REF!</v>
      </c>
      <c r="F164" s="458" t="e">
        <f t="shared" si="13"/>
        <v>#REF!</v>
      </c>
      <c r="G164" s="458" t="e">
        <f t="shared" si="13"/>
        <v>#REF!</v>
      </c>
      <c r="H164" s="458" t="e">
        <f t="shared" si="13"/>
        <v>#REF!</v>
      </c>
      <c r="I164" s="458" t="e">
        <f t="shared" si="13"/>
        <v>#REF!</v>
      </c>
    </row>
    <row r="165" spans="2:9" x14ac:dyDescent="0.25">
      <c r="B165" s="457" t="s">
        <v>347</v>
      </c>
      <c r="C165" s="458"/>
      <c r="D165" s="458"/>
      <c r="E165" s="458"/>
      <c r="F165" s="458"/>
      <c r="G165" s="458"/>
      <c r="H165" s="458"/>
      <c r="I165" s="458"/>
    </row>
    <row r="166" spans="2:9" x14ac:dyDescent="0.25">
      <c r="B166" s="457" t="s">
        <v>348</v>
      </c>
      <c r="C166" s="458">
        <f>PL!B30</f>
        <v>2638329.1445559999</v>
      </c>
      <c r="D166" s="458">
        <f>PL!C30</f>
        <v>2752732.9091119999</v>
      </c>
      <c r="E166" s="458">
        <f>PL!D30</f>
        <v>2873324.1736679999</v>
      </c>
      <c r="F166" s="458">
        <f>PL!E30</f>
        <v>3000412.3132240004</v>
      </c>
      <c r="G166" s="458">
        <f>PL!F30</f>
        <v>3134322.1715300004</v>
      </c>
      <c r="H166" s="458">
        <f>PL!G30</f>
        <v>3275394.8345235009</v>
      </c>
      <c r="I166" s="458">
        <f>PL!H30</f>
        <v>3423988.4424388758</v>
      </c>
    </row>
    <row r="167" spans="2:9" x14ac:dyDescent="0.25">
      <c r="B167" s="457" t="s">
        <v>307</v>
      </c>
      <c r="C167" s="458">
        <f>PL!B20*(1+L158)</f>
        <v>32734629.457033977</v>
      </c>
      <c r="D167" s="458">
        <f>PL!C20*(1+N158)</f>
        <v>35541585.407673322</v>
      </c>
      <c r="E167" s="458">
        <f>PL!D20*(1+O158)</f>
        <v>39985365.679172464</v>
      </c>
      <c r="F167" s="458">
        <f>PL!E20*(1+P158)</f>
        <v>44781315.161148675</v>
      </c>
      <c r="G167" s="458">
        <f>PL!F20*(1+Q158)</f>
        <v>49953561.99716796</v>
      </c>
      <c r="H167" s="458">
        <f>PL!G20*(1+R158)</f>
        <v>55527878.184077621</v>
      </c>
      <c r="I167" s="458">
        <f>PL!H20*(1+S158)</f>
        <v>61531672.175024554</v>
      </c>
    </row>
    <row r="168" spans="2:9" x14ac:dyDescent="0.25">
      <c r="B168" s="457" t="s">
        <v>349</v>
      </c>
      <c r="C168" s="458">
        <f t="shared" ref="C168:I168" si="14">SUM(C166:C167)</f>
        <v>35372958.601589978</v>
      </c>
      <c r="D168" s="458">
        <f t="shared" si="14"/>
        <v>38294318.316785321</v>
      </c>
      <c r="E168" s="458">
        <f t="shared" si="14"/>
        <v>42858689.852840461</v>
      </c>
      <c r="F168" s="458">
        <f t="shared" si="14"/>
        <v>47781727.474372678</v>
      </c>
      <c r="G168" s="458">
        <f t="shared" si="14"/>
        <v>53087884.168697961</v>
      </c>
      <c r="H168" s="458">
        <f t="shared" si="14"/>
        <v>58803273.01860112</v>
      </c>
      <c r="I168" s="458">
        <f t="shared" si="14"/>
        <v>64955660.617463432</v>
      </c>
    </row>
    <row r="169" spans="2:9" x14ac:dyDescent="0.25">
      <c r="B169" s="460" t="s">
        <v>350</v>
      </c>
      <c r="C169" s="461" t="e">
        <f t="shared" ref="C169:I169" si="15">+C164-C168</f>
        <v>#REF!</v>
      </c>
      <c r="D169" s="461" t="e">
        <f t="shared" si="15"/>
        <v>#REF!</v>
      </c>
      <c r="E169" s="461" t="e">
        <f t="shared" si="15"/>
        <v>#REF!</v>
      </c>
      <c r="F169" s="461" t="e">
        <f t="shared" si="15"/>
        <v>#REF!</v>
      </c>
      <c r="G169" s="461" t="e">
        <f t="shared" si="15"/>
        <v>#REF!</v>
      </c>
      <c r="H169" s="461" t="e">
        <f t="shared" si="15"/>
        <v>#REF!</v>
      </c>
      <c r="I169" s="461" t="e">
        <f t="shared" si="15"/>
        <v>#REF!</v>
      </c>
    </row>
    <row r="170" spans="2:9" x14ac:dyDescent="0.25">
      <c r="B170" s="462"/>
      <c r="C170" s="463"/>
      <c r="D170" s="463"/>
      <c r="E170" s="463"/>
      <c r="F170" s="463"/>
      <c r="G170" s="463"/>
      <c r="H170" s="463"/>
      <c r="I170" s="463"/>
    </row>
    <row r="171" spans="2:9" x14ac:dyDescent="0.25">
      <c r="B171" s="273" t="s">
        <v>351</v>
      </c>
      <c r="C171" s="274" t="s">
        <v>2</v>
      </c>
      <c r="D171" s="274" t="s">
        <v>3</v>
      </c>
      <c r="E171" s="274" t="s">
        <v>4</v>
      </c>
      <c r="F171" s="274" t="s">
        <v>5</v>
      </c>
      <c r="G171" s="274" t="s">
        <v>6</v>
      </c>
      <c r="H171" s="274" t="s">
        <v>165</v>
      </c>
      <c r="I171" s="274" t="s">
        <v>164</v>
      </c>
    </row>
    <row r="172" spans="2:9" x14ac:dyDescent="0.25">
      <c r="B172" s="457" t="str">
        <f t="shared" ref="B172:B178" si="16">B157</f>
        <v>Facility 1 - Cleaning &amp; Grading</v>
      </c>
      <c r="C172" s="464">
        <f>PL!B5</f>
        <v>29661972.741941765</v>
      </c>
      <c r="D172" s="464">
        <f>PL!C5</f>
        <v>33949179.073855594</v>
      </c>
      <c r="E172" s="464">
        <f>PL!D5</f>
        <v>38390091.717705235</v>
      </c>
      <c r="F172" s="464">
        <f>PL!E5</f>
        <v>43190222.67825523</v>
      </c>
      <c r="G172" s="464">
        <f>PL!F5</f>
        <v>48374391.505565956</v>
      </c>
      <c r="H172" s="464">
        <f>PL!G5</f>
        <v>53969001.658912107</v>
      </c>
      <c r="I172" s="464">
        <f>PL!H5</f>
        <v>60002136.848828964</v>
      </c>
    </row>
    <row r="173" spans="2:9" x14ac:dyDescent="0.25">
      <c r="B173" s="457" t="str">
        <f t="shared" si="16"/>
        <v>Facility 2 - Processing Unit- Ragi Mill</v>
      </c>
      <c r="C173" s="464">
        <f>PL!B6</f>
        <v>6065956.512000002</v>
      </c>
      <c r="D173" s="464">
        <f>PL!C6</f>
        <v>6454177.7287680013</v>
      </c>
      <c r="E173" s="464">
        <f>PL!D6</f>
        <v>7200442.0286568021</v>
      </c>
      <c r="F173" s="464">
        <f>PL!E6</f>
        <v>8005197.3142125634</v>
      </c>
      <c r="G173" s="464">
        <f>PL!F6</f>
        <v>8872427.0232522581</v>
      </c>
      <c r="H173" s="464">
        <f>PL!G6</f>
        <v>9806366.7099103928</v>
      </c>
      <c r="I173" s="464">
        <f>PL!H6</f>
        <v>10811519.297676206</v>
      </c>
    </row>
    <row r="174" spans="2:9" x14ac:dyDescent="0.25">
      <c r="B174" s="457" t="str">
        <f t="shared" si="16"/>
        <v>Facility 3 - Warehouse</v>
      </c>
      <c r="C174" s="464">
        <f>PL!B7</f>
        <v>210000</v>
      </c>
      <c r="D174" s="464">
        <f>PL!C7</f>
        <v>242550.00000000003</v>
      </c>
      <c r="E174" s="464">
        <f>PL!D7</f>
        <v>277830.00000000006</v>
      </c>
      <c r="F174" s="464">
        <f>PL!E7</f>
        <v>316031.62500000012</v>
      </c>
      <c r="G174" s="464">
        <f>PL!F7</f>
        <v>357358.83750000014</v>
      </c>
      <c r="H174" s="464">
        <f>PL!G7</f>
        <v>375226.77937500016</v>
      </c>
      <c r="I174" s="464">
        <f>PL!H7</f>
        <v>393988.11834375019</v>
      </c>
    </row>
    <row r="175" spans="2:9" x14ac:dyDescent="0.25">
      <c r="B175" s="457" t="str">
        <f t="shared" si="16"/>
        <v xml:space="preserve">Facility 4 - Custom Hiring </v>
      </c>
      <c r="C175" s="464">
        <f>PL!B8</f>
        <v>2058000</v>
      </c>
      <c r="D175" s="464">
        <f>PL!C8</f>
        <v>2160900</v>
      </c>
      <c r="E175" s="464">
        <f>PL!D8</f>
        <v>2268945</v>
      </c>
      <c r="F175" s="464">
        <f>PL!E8</f>
        <v>2382392.2500000005</v>
      </c>
      <c r="G175" s="464">
        <f>PL!F8</f>
        <v>2501511.8625000007</v>
      </c>
      <c r="H175" s="464">
        <f>PL!G8</f>
        <v>2626587.4556250009</v>
      </c>
      <c r="I175" s="464">
        <f>PL!H8</f>
        <v>2757916.828406251</v>
      </c>
    </row>
    <row r="176" spans="2:9" x14ac:dyDescent="0.25">
      <c r="B176" s="457" t="str">
        <f t="shared" si="16"/>
        <v>Facility 5 - Agri Input Centre</v>
      </c>
      <c r="C176" s="464">
        <f>PL!B9</f>
        <v>0</v>
      </c>
      <c r="D176" s="464">
        <f>PL!C9</f>
        <v>0</v>
      </c>
      <c r="E176" s="464">
        <f>PL!D9</f>
        <v>0</v>
      </c>
      <c r="F176" s="464">
        <f>PL!E9</f>
        <v>0</v>
      </c>
      <c r="G176" s="464">
        <f>PL!F9</f>
        <v>0</v>
      </c>
      <c r="H176" s="464">
        <f>PL!G9</f>
        <v>0</v>
      </c>
      <c r="I176" s="464">
        <f>PL!H9</f>
        <v>0</v>
      </c>
    </row>
    <row r="177" spans="2:15" x14ac:dyDescent="0.25">
      <c r="B177" s="457" t="str">
        <f t="shared" si="16"/>
        <v>Facility 6 - Processing Unit - Horti Commodity</v>
      </c>
      <c r="C177" s="464">
        <f>PL!B10</f>
        <v>0</v>
      </c>
      <c r="D177" s="464">
        <f>PL!C10</f>
        <v>0</v>
      </c>
      <c r="E177" s="464">
        <f>PL!D10</f>
        <v>0</v>
      </c>
      <c r="F177" s="464">
        <f>PL!E10</f>
        <v>0</v>
      </c>
      <c r="G177" s="464">
        <f>PL!F10</f>
        <v>0</v>
      </c>
      <c r="H177" s="464">
        <f>PL!G10</f>
        <v>0</v>
      </c>
      <c r="I177" s="464">
        <f>PL!H10</f>
        <v>0</v>
      </c>
    </row>
    <row r="178" spans="2:15" x14ac:dyDescent="0.25">
      <c r="B178" s="457" t="e">
        <f t="shared" si="16"/>
        <v>#REF!</v>
      </c>
      <c r="C178" s="464" t="e">
        <f>PL!#REF!</f>
        <v>#REF!</v>
      </c>
      <c r="D178" s="464" t="e">
        <f>PL!#REF!</f>
        <v>#REF!</v>
      </c>
      <c r="E178" s="464" t="e">
        <f>PL!#REF!</f>
        <v>#REF!</v>
      </c>
      <c r="F178" s="464" t="e">
        <f>PL!#REF!</f>
        <v>#REF!</v>
      </c>
      <c r="G178" s="464" t="e">
        <f>PL!#REF!</f>
        <v>#REF!</v>
      </c>
      <c r="H178" s="464" t="e">
        <f>PL!#REF!</f>
        <v>#REF!</v>
      </c>
      <c r="I178" s="464" t="e">
        <f>PL!#REF!</f>
        <v>#REF!</v>
      </c>
    </row>
    <row r="179" spans="2:15" x14ac:dyDescent="0.25">
      <c r="B179" s="457" t="s">
        <v>346</v>
      </c>
      <c r="C179" s="464" t="e">
        <f>SUM(C172:C178)</f>
        <v>#REF!</v>
      </c>
      <c r="D179" s="464" t="e">
        <f t="shared" ref="D179:I179" si="17">SUM(D172:D178)</f>
        <v>#REF!</v>
      </c>
      <c r="E179" s="464" t="e">
        <f t="shared" si="17"/>
        <v>#REF!</v>
      </c>
      <c r="F179" s="464" t="e">
        <f t="shared" si="17"/>
        <v>#REF!</v>
      </c>
      <c r="G179" s="464" t="e">
        <f t="shared" si="17"/>
        <v>#REF!</v>
      </c>
      <c r="H179" s="464" t="e">
        <f t="shared" si="17"/>
        <v>#REF!</v>
      </c>
      <c r="I179" s="464" t="e">
        <f t="shared" si="17"/>
        <v>#REF!</v>
      </c>
    </row>
    <row r="180" spans="2:15" x14ac:dyDescent="0.25">
      <c r="B180" s="457" t="s">
        <v>347</v>
      </c>
      <c r="C180" s="465"/>
      <c r="D180" s="464"/>
      <c r="E180" s="464"/>
      <c r="F180" s="464"/>
      <c r="G180" s="464"/>
      <c r="H180" s="464"/>
      <c r="I180" s="464"/>
    </row>
    <row r="181" spans="2:15" x14ac:dyDescent="0.25">
      <c r="B181" s="457" t="s">
        <v>348</v>
      </c>
      <c r="C181" s="466">
        <f>PL!B30</f>
        <v>2638329.1445559999</v>
      </c>
      <c r="D181" s="466">
        <f>PL!C30</f>
        <v>2752732.9091119999</v>
      </c>
      <c r="E181" s="466">
        <f>PL!D30</f>
        <v>2873324.1736679999</v>
      </c>
      <c r="F181" s="466">
        <f>PL!E30</f>
        <v>3000412.3132240004</v>
      </c>
      <c r="G181" s="466">
        <f>PL!F30</f>
        <v>3134322.1715300004</v>
      </c>
      <c r="H181" s="466">
        <f>PL!G30</f>
        <v>3275394.8345235009</v>
      </c>
      <c r="I181" s="466">
        <f>PL!H30</f>
        <v>3423988.4424388758</v>
      </c>
    </row>
    <row r="182" spans="2:15" x14ac:dyDescent="0.25">
      <c r="B182" s="457" t="s">
        <v>307</v>
      </c>
      <c r="C182" s="466">
        <f>PL!B20*(1+$L$159)</f>
        <v>32734629.457033977</v>
      </c>
      <c r="D182" s="466">
        <f>PL!C20*(1+$L$159)</f>
        <v>37318664.678056993</v>
      </c>
      <c r="E182" s="466">
        <f>PL!D20*(1+$L$159)</f>
        <v>41984633.963131085</v>
      </c>
      <c r="F182" s="466">
        <f>PL!E20*(1+$L$159)</f>
        <v>47020380.919206113</v>
      </c>
      <c r="G182" s="466">
        <f>PL!F20*(1+$L$159)</f>
        <v>52451240.097026363</v>
      </c>
      <c r="H182" s="466">
        <f>PL!G20*(1+$L$159)</f>
        <v>58304272.093281507</v>
      </c>
      <c r="I182" s="466">
        <f>PL!H20*(1+$L$159)</f>
        <v>64608255.783775784</v>
      </c>
    </row>
    <row r="183" spans="2:15" x14ac:dyDescent="0.25">
      <c r="B183" s="457" t="s">
        <v>349</v>
      </c>
      <c r="C183" s="466">
        <f t="shared" ref="C183:I183" si="18">SUM(C181:C182)</f>
        <v>35372958.601589978</v>
      </c>
      <c r="D183" s="466">
        <f t="shared" si="18"/>
        <v>40071397.587168992</v>
      </c>
      <c r="E183" s="466">
        <f t="shared" si="18"/>
        <v>44857958.136799082</v>
      </c>
      <c r="F183" s="466">
        <f t="shared" si="18"/>
        <v>50020793.232430115</v>
      </c>
      <c r="G183" s="466">
        <f t="shared" si="18"/>
        <v>55585562.268556364</v>
      </c>
      <c r="H183" s="466">
        <f t="shared" si="18"/>
        <v>61579666.927805007</v>
      </c>
      <c r="I183" s="466">
        <f t="shared" si="18"/>
        <v>68032244.226214662</v>
      </c>
    </row>
    <row r="184" spans="2:15" x14ac:dyDescent="0.25">
      <c r="B184" s="460" t="s">
        <v>350</v>
      </c>
      <c r="C184" s="467" t="e">
        <f t="shared" ref="C184:I184" si="19">+C179-C183</f>
        <v>#REF!</v>
      </c>
      <c r="D184" s="467" t="e">
        <f t="shared" si="19"/>
        <v>#REF!</v>
      </c>
      <c r="E184" s="467" t="e">
        <f t="shared" si="19"/>
        <v>#REF!</v>
      </c>
      <c r="F184" s="467" t="e">
        <f t="shared" si="19"/>
        <v>#REF!</v>
      </c>
      <c r="G184" s="467" t="e">
        <f t="shared" si="19"/>
        <v>#REF!</v>
      </c>
      <c r="H184" s="467" t="e">
        <f t="shared" si="19"/>
        <v>#REF!</v>
      </c>
      <c r="I184" s="467" t="e">
        <f t="shared" si="19"/>
        <v>#REF!</v>
      </c>
      <c r="N184" s="346"/>
      <c r="O184" s="344"/>
    </row>
    <row r="185" spans="2:15" x14ac:dyDescent="0.25">
      <c r="B185" s="462"/>
      <c r="C185" s="463"/>
      <c r="D185" s="463"/>
      <c r="E185" s="463"/>
      <c r="F185" s="463"/>
      <c r="G185" s="463"/>
      <c r="H185" s="463"/>
      <c r="I185" s="463"/>
    </row>
    <row r="186" spans="2:15" x14ac:dyDescent="0.25">
      <c r="B186" s="273" t="s">
        <v>352</v>
      </c>
      <c r="C186" s="274" t="s">
        <v>2</v>
      </c>
      <c r="D186" s="274" t="s">
        <v>3</v>
      </c>
      <c r="E186" s="274" t="s">
        <v>4</v>
      </c>
      <c r="F186" s="274" t="s">
        <v>5</v>
      </c>
      <c r="G186" s="274" t="s">
        <v>6</v>
      </c>
      <c r="H186" s="274" t="s">
        <v>165</v>
      </c>
      <c r="I186" s="274" t="s">
        <v>164</v>
      </c>
    </row>
    <row r="187" spans="2:15" x14ac:dyDescent="0.25">
      <c r="B187" s="457" t="str">
        <f t="shared" ref="B187:B193" si="20">B172</f>
        <v>Facility 1 - Cleaning &amp; Grading</v>
      </c>
      <c r="C187" s="458">
        <f>PL!B5*(1-$L$158)</f>
        <v>28178874.104844674</v>
      </c>
      <c r="D187" s="458">
        <f>PL!C5*(1-$L$158)</f>
        <v>32251720.120162811</v>
      </c>
      <c r="E187" s="458">
        <f>PL!D5*(1-$L$158)</f>
        <v>36470587.131819971</v>
      </c>
      <c r="F187" s="458">
        <f>PL!E5*(1-$L$158)</f>
        <v>41030711.544342466</v>
      </c>
      <c r="G187" s="458">
        <f>PL!F5*(1-$L$158)</f>
        <v>45955671.930287659</v>
      </c>
      <c r="H187" s="458">
        <f>PL!G5*(1-$L$158)</f>
        <v>51270551.5759665</v>
      </c>
      <c r="I187" s="458">
        <f>PL!H5*(1-$L$158)</f>
        <v>57002030.006387509</v>
      </c>
    </row>
    <row r="188" spans="2:15" x14ac:dyDescent="0.25">
      <c r="B188" s="457" t="str">
        <f t="shared" si="20"/>
        <v>Facility 2 - Processing Unit- Ragi Mill</v>
      </c>
      <c r="C188" s="458">
        <f>PL!B6*(1-$L$158)</f>
        <v>5762658.6864000019</v>
      </c>
      <c r="D188" s="458">
        <f>PL!C6*(1-$L$158)</f>
        <v>6131468.8423296008</v>
      </c>
      <c r="E188" s="458">
        <f>PL!D6*(1-$L$158)</f>
        <v>6840419.9272239618</v>
      </c>
      <c r="F188" s="458">
        <f>PL!E6*(1-$L$158)</f>
        <v>7604937.4485019352</v>
      </c>
      <c r="G188" s="458">
        <f>PL!F6*(1-$L$158)</f>
        <v>8428805.6720896456</v>
      </c>
      <c r="H188" s="458">
        <f>PL!G6*(1-$L$158)</f>
        <v>9316048.3744148724</v>
      </c>
      <c r="I188" s="458">
        <f>PL!H6*(1-$L$158)</f>
        <v>10270943.332792396</v>
      </c>
    </row>
    <row r="189" spans="2:15" x14ac:dyDescent="0.25">
      <c r="B189" s="457" t="str">
        <f t="shared" si="20"/>
        <v>Facility 3 - Warehouse</v>
      </c>
      <c r="C189" s="458">
        <f>PL!B7*(1-$L$158)</f>
        <v>199500</v>
      </c>
      <c r="D189" s="458">
        <f>PL!C7*(1-$L$158)</f>
        <v>230422.50000000003</v>
      </c>
      <c r="E189" s="458">
        <f>PL!D7*(1-$L$158)</f>
        <v>263938.50000000006</v>
      </c>
      <c r="F189" s="458">
        <f>PL!E7*(1-$L$158)</f>
        <v>300230.04375000007</v>
      </c>
      <c r="G189" s="458">
        <f>PL!F7*(1-$L$158)</f>
        <v>339490.89562500012</v>
      </c>
      <c r="H189" s="458">
        <f>PL!G7*(1-$L$158)</f>
        <v>356465.44040625013</v>
      </c>
      <c r="I189" s="458">
        <f>PL!H7*(1-$L$158)</f>
        <v>374288.71242656268</v>
      </c>
    </row>
    <row r="190" spans="2:15" x14ac:dyDescent="0.25">
      <c r="B190" s="457" t="str">
        <f t="shared" si="20"/>
        <v xml:space="preserve">Facility 4 - Custom Hiring </v>
      </c>
      <c r="C190" s="458">
        <f>PL!B8*(1-$L$158)</f>
        <v>1955100</v>
      </c>
      <c r="D190" s="458">
        <f>PL!C8*(1-$L$158)</f>
        <v>2052855</v>
      </c>
      <c r="E190" s="458">
        <f>PL!D8*(1-$L$158)</f>
        <v>2155497.75</v>
      </c>
      <c r="F190" s="458">
        <f>PL!E8*(1-$L$158)</f>
        <v>2263272.6375000002</v>
      </c>
      <c r="G190" s="458">
        <f>PL!F8*(1-$L$158)</f>
        <v>2376436.2693750006</v>
      </c>
      <c r="H190" s="458">
        <f>PL!G8*(1-$L$158)</f>
        <v>2495258.0828437507</v>
      </c>
      <c r="I190" s="458">
        <f>PL!H8*(1-$L$158)</f>
        <v>2620020.9869859382</v>
      </c>
    </row>
    <row r="191" spans="2:15" x14ac:dyDescent="0.25">
      <c r="B191" s="457" t="str">
        <f t="shared" si="20"/>
        <v>Facility 5 - Agri Input Centre</v>
      </c>
      <c r="C191" s="458">
        <f>PL!B9*(1-$L$158)</f>
        <v>0</v>
      </c>
      <c r="D191" s="458">
        <f>PL!C9*(1-$L$158)</f>
        <v>0</v>
      </c>
      <c r="E191" s="458">
        <f>PL!D9*(1-$L$158)</f>
        <v>0</v>
      </c>
      <c r="F191" s="458">
        <f>PL!E9*(1-$L$158)</f>
        <v>0</v>
      </c>
      <c r="G191" s="458">
        <f>PL!F9*(1-$L$158)</f>
        <v>0</v>
      </c>
      <c r="H191" s="458">
        <f>PL!G9*(1-$L$158)</f>
        <v>0</v>
      </c>
      <c r="I191" s="458">
        <f>PL!H9*(1-$L$158)</f>
        <v>0</v>
      </c>
    </row>
    <row r="192" spans="2:15" x14ac:dyDescent="0.25">
      <c r="B192" s="457" t="str">
        <f t="shared" si="20"/>
        <v>Facility 6 - Processing Unit - Horti Commodity</v>
      </c>
      <c r="C192" s="458">
        <f>PL!B10*(1-$L$158)</f>
        <v>0</v>
      </c>
      <c r="D192" s="458">
        <f>PL!C10*(1-$L$158)</f>
        <v>0</v>
      </c>
      <c r="E192" s="458">
        <f>PL!D10*(1-$L$158)</f>
        <v>0</v>
      </c>
      <c r="F192" s="458">
        <f>PL!E10*(1-$L$158)</f>
        <v>0</v>
      </c>
      <c r="G192" s="458">
        <f>PL!F10*(1-$L$158)</f>
        <v>0</v>
      </c>
      <c r="H192" s="458">
        <f>PL!G10*(1-$L$158)</f>
        <v>0</v>
      </c>
      <c r="I192" s="458">
        <f>PL!H10*(1-$L$158)</f>
        <v>0</v>
      </c>
    </row>
    <row r="193" spans="2:9" x14ac:dyDescent="0.25">
      <c r="B193" s="457" t="e">
        <f t="shared" si="20"/>
        <v>#REF!</v>
      </c>
      <c r="C193" s="458" t="e">
        <f>PL!#REF!*(1-$L$158)</f>
        <v>#REF!</v>
      </c>
      <c r="D193" s="458" t="e">
        <f>PL!#REF!*(1-$L$158)</f>
        <v>#REF!</v>
      </c>
      <c r="E193" s="458" t="e">
        <f>PL!#REF!*(1-$L$158)</f>
        <v>#REF!</v>
      </c>
      <c r="F193" s="458" t="e">
        <f>PL!#REF!*(1-$L$158)</f>
        <v>#REF!</v>
      </c>
      <c r="G193" s="458" t="e">
        <f>PL!#REF!*(1-$L$158)</f>
        <v>#REF!</v>
      </c>
      <c r="H193" s="458" t="e">
        <f>PL!#REF!*(1-$L$158)</f>
        <v>#REF!</v>
      </c>
      <c r="I193" s="458" t="e">
        <f>PL!#REF!*(1-$L$158)</f>
        <v>#REF!</v>
      </c>
    </row>
    <row r="194" spans="2:9" x14ac:dyDescent="0.25">
      <c r="B194" s="457" t="s">
        <v>346</v>
      </c>
      <c r="C194" s="458" t="e">
        <f>SUM(C187:C193)</f>
        <v>#REF!</v>
      </c>
      <c r="D194" s="458" t="e">
        <f t="shared" ref="D194:I194" si="21">SUM(D187:D193)</f>
        <v>#REF!</v>
      </c>
      <c r="E194" s="458" t="e">
        <f t="shared" si="21"/>
        <v>#REF!</v>
      </c>
      <c r="F194" s="458" t="e">
        <f t="shared" si="21"/>
        <v>#REF!</v>
      </c>
      <c r="G194" s="458" t="e">
        <f t="shared" si="21"/>
        <v>#REF!</v>
      </c>
      <c r="H194" s="458" t="e">
        <f t="shared" si="21"/>
        <v>#REF!</v>
      </c>
      <c r="I194" s="458" t="e">
        <f t="shared" si="21"/>
        <v>#REF!</v>
      </c>
    </row>
    <row r="195" spans="2:9" x14ac:dyDescent="0.25">
      <c r="B195" s="457" t="s">
        <v>347</v>
      </c>
      <c r="C195" s="458"/>
      <c r="D195" s="458"/>
      <c r="E195" s="458"/>
      <c r="F195" s="458"/>
      <c r="G195" s="458"/>
      <c r="H195" s="458"/>
      <c r="I195" s="458"/>
    </row>
    <row r="196" spans="2:9" x14ac:dyDescent="0.25">
      <c r="B196" s="457" t="s">
        <v>348</v>
      </c>
      <c r="C196" s="458">
        <f>PL!B30</f>
        <v>2638329.1445559999</v>
      </c>
      <c r="D196" s="458">
        <f>PL!C30</f>
        <v>2752732.9091119999</v>
      </c>
      <c r="E196" s="458">
        <f>PL!D30</f>
        <v>2873324.1736679999</v>
      </c>
      <c r="F196" s="458">
        <f>PL!E30</f>
        <v>3000412.3132240004</v>
      </c>
      <c r="G196" s="458">
        <f>PL!F30</f>
        <v>3134322.1715300004</v>
      </c>
      <c r="H196" s="458">
        <f>PL!G30</f>
        <v>3275394.8345235009</v>
      </c>
      <c r="I196" s="458">
        <f>PL!H30</f>
        <v>3423988.4424388758</v>
      </c>
    </row>
    <row r="197" spans="2:9" x14ac:dyDescent="0.25">
      <c r="B197" s="457" t="s">
        <v>307</v>
      </c>
      <c r="C197" s="458">
        <f>PL!B20*(1-$L$158)</f>
        <v>29617045.699221216</v>
      </c>
      <c r="D197" s="458">
        <f>PL!C20*(1-$L$158)</f>
        <v>33764506.137289651</v>
      </c>
      <c r="E197" s="458">
        <f>PL!D20*(1-$L$158)</f>
        <v>37986097.395213842</v>
      </c>
      <c r="F197" s="458">
        <f>PL!E20*(1-$L$158)</f>
        <v>42542249.403091237</v>
      </c>
      <c r="G197" s="458">
        <f>PL!F20*(1-$L$158)</f>
        <v>47455883.897309557</v>
      </c>
      <c r="H197" s="458">
        <f>PL!G20*(1-$L$158)</f>
        <v>52751484.274873734</v>
      </c>
      <c r="I197" s="458">
        <f>PL!H20*(1-$L$158)</f>
        <v>58455088.566273324</v>
      </c>
    </row>
    <row r="198" spans="2:9" x14ac:dyDescent="0.25">
      <c r="B198" s="457" t="s">
        <v>349</v>
      </c>
      <c r="C198" s="458">
        <f t="shared" ref="C198:I198" si="22">SUM(C196:C197)</f>
        <v>32255374.843777217</v>
      </c>
      <c r="D198" s="458">
        <f t="shared" si="22"/>
        <v>36517239.04640165</v>
      </c>
      <c r="E198" s="458">
        <f t="shared" si="22"/>
        <v>40859421.56888184</v>
      </c>
      <c r="F198" s="458">
        <f t="shared" si="22"/>
        <v>45542661.71631524</v>
      </c>
      <c r="G198" s="458">
        <f t="shared" si="22"/>
        <v>50590206.068839557</v>
      </c>
      <c r="H198" s="458">
        <f t="shared" si="22"/>
        <v>56026879.109397233</v>
      </c>
      <c r="I198" s="458">
        <f t="shared" si="22"/>
        <v>61879077.008712202</v>
      </c>
    </row>
    <row r="199" spans="2:9" x14ac:dyDescent="0.25">
      <c r="B199" s="460" t="s">
        <v>350</v>
      </c>
      <c r="C199" s="461" t="e">
        <f t="shared" ref="C199:I199" si="23">+C194-C198</f>
        <v>#REF!</v>
      </c>
      <c r="D199" s="461" t="e">
        <f t="shared" si="23"/>
        <v>#REF!</v>
      </c>
      <c r="E199" s="461" t="e">
        <f t="shared" si="23"/>
        <v>#REF!</v>
      </c>
      <c r="F199" s="461" t="e">
        <f t="shared" si="23"/>
        <v>#REF!</v>
      </c>
      <c r="G199" s="461" t="e">
        <f t="shared" si="23"/>
        <v>#REF!</v>
      </c>
      <c r="H199" s="461" t="e">
        <f t="shared" si="23"/>
        <v>#REF!</v>
      </c>
      <c r="I199" s="461" t="e">
        <f t="shared" si="23"/>
        <v>#REF!</v>
      </c>
    </row>
    <row r="200" spans="2:9" x14ac:dyDescent="0.25">
      <c r="B200" s="427"/>
      <c r="C200" s="463"/>
      <c r="D200" s="463"/>
      <c r="E200" s="463"/>
      <c r="F200" s="463"/>
      <c r="G200" s="463"/>
      <c r="H200" s="463"/>
      <c r="I200" s="463"/>
    </row>
    <row r="201" spans="2:9" x14ac:dyDescent="0.25">
      <c r="B201" s="273" t="s">
        <v>353</v>
      </c>
      <c r="C201" s="274" t="s">
        <v>2</v>
      </c>
      <c r="D201" s="274" t="s">
        <v>3</v>
      </c>
      <c r="E201" s="274" t="s">
        <v>4</v>
      </c>
      <c r="F201" s="274" t="s">
        <v>5</v>
      </c>
      <c r="G201" s="274" t="s">
        <v>6</v>
      </c>
      <c r="H201" s="274" t="s">
        <v>165</v>
      </c>
      <c r="I201" s="274" t="s">
        <v>164</v>
      </c>
    </row>
    <row r="202" spans="2:9" x14ac:dyDescent="0.25">
      <c r="B202" s="457" t="str">
        <f t="shared" ref="B202:B208" si="24">B187</f>
        <v>Facility 1 - Cleaning &amp; Grading</v>
      </c>
      <c r="C202" s="464">
        <f>PL!B5</f>
        <v>29661972.741941765</v>
      </c>
      <c r="D202" s="464">
        <f>PL!C5</f>
        <v>33949179.073855594</v>
      </c>
      <c r="E202" s="464">
        <f>PL!D5</f>
        <v>38390091.717705235</v>
      </c>
      <c r="F202" s="464">
        <f>PL!E5</f>
        <v>43190222.67825523</v>
      </c>
      <c r="G202" s="464">
        <f>PL!F5</f>
        <v>48374391.505565956</v>
      </c>
      <c r="H202" s="464">
        <f>PL!G5</f>
        <v>53969001.658912107</v>
      </c>
      <c r="I202" s="464">
        <f>PL!H5</f>
        <v>60002136.848828964</v>
      </c>
    </row>
    <row r="203" spans="2:9" x14ac:dyDescent="0.25">
      <c r="B203" s="457" t="str">
        <f t="shared" si="24"/>
        <v>Facility 2 - Processing Unit- Ragi Mill</v>
      </c>
      <c r="C203" s="464">
        <f>PL!B6</f>
        <v>6065956.512000002</v>
      </c>
      <c r="D203" s="464">
        <f>PL!C6</f>
        <v>6454177.7287680013</v>
      </c>
      <c r="E203" s="464">
        <f>PL!D6</f>
        <v>7200442.0286568021</v>
      </c>
      <c r="F203" s="464">
        <f>PL!E6</f>
        <v>8005197.3142125634</v>
      </c>
      <c r="G203" s="464">
        <f>PL!F6</f>
        <v>8872427.0232522581</v>
      </c>
      <c r="H203" s="464">
        <f>PL!G6</f>
        <v>9806366.7099103928</v>
      </c>
      <c r="I203" s="464">
        <f>PL!H6</f>
        <v>10811519.297676206</v>
      </c>
    </row>
    <row r="204" spans="2:9" x14ac:dyDescent="0.25">
      <c r="B204" s="457" t="str">
        <f t="shared" si="24"/>
        <v>Facility 3 - Warehouse</v>
      </c>
      <c r="C204" s="464">
        <f>PL!B7</f>
        <v>210000</v>
      </c>
      <c r="D204" s="464">
        <f>PL!C7</f>
        <v>242550.00000000003</v>
      </c>
      <c r="E204" s="464">
        <f>PL!D7</f>
        <v>277830.00000000006</v>
      </c>
      <c r="F204" s="464">
        <f>PL!E7</f>
        <v>316031.62500000012</v>
      </c>
      <c r="G204" s="464">
        <f>PL!F7</f>
        <v>357358.83750000014</v>
      </c>
      <c r="H204" s="464">
        <f>PL!G7</f>
        <v>375226.77937500016</v>
      </c>
      <c r="I204" s="464">
        <f>PL!H7</f>
        <v>393988.11834375019</v>
      </c>
    </row>
    <row r="205" spans="2:9" x14ac:dyDescent="0.25">
      <c r="B205" s="457" t="str">
        <f t="shared" si="24"/>
        <v xml:space="preserve">Facility 4 - Custom Hiring </v>
      </c>
      <c r="C205" s="464">
        <f>PL!B8</f>
        <v>2058000</v>
      </c>
      <c r="D205" s="464">
        <f>PL!C8</f>
        <v>2160900</v>
      </c>
      <c r="E205" s="464">
        <f>PL!D8</f>
        <v>2268945</v>
      </c>
      <c r="F205" s="464">
        <f>PL!E8</f>
        <v>2382392.2500000005</v>
      </c>
      <c r="G205" s="464">
        <f>PL!F8</f>
        <v>2501511.8625000007</v>
      </c>
      <c r="H205" s="464">
        <f>PL!G8</f>
        <v>2626587.4556250009</v>
      </c>
      <c r="I205" s="464">
        <f>PL!H8</f>
        <v>2757916.828406251</v>
      </c>
    </row>
    <row r="206" spans="2:9" x14ac:dyDescent="0.25">
      <c r="B206" s="457" t="str">
        <f t="shared" si="24"/>
        <v>Facility 5 - Agri Input Centre</v>
      </c>
      <c r="C206" s="464">
        <f>PL!B9</f>
        <v>0</v>
      </c>
      <c r="D206" s="464">
        <f>PL!C9</f>
        <v>0</v>
      </c>
      <c r="E206" s="464">
        <f>PL!D9</f>
        <v>0</v>
      </c>
      <c r="F206" s="464">
        <f>PL!E9</f>
        <v>0</v>
      </c>
      <c r="G206" s="464">
        <f>PL!F9</f>
        <v>0</v>
      </c>
      <c r="H206" s="464">
        <f>PL!G9</f>
        <v>0</v>
      </c>
      <c r="I206" s="464">
        <f>PL!H9</f>
        <v>0</v>
      </c>
    </row>
    <row r="207" spans="2:9" x14ac:dyDescent="0.25">
      <c r="B207" s="457" t="str">
        <f t="shared" si="24"/>
        <v>Facility 6 - Processing Unit - Horti Commodity</v>
      </c>
      <c r="C207" s="464">
        <f>PL!B10</f>
        <v>0</v>
      </c>
      <c r="D207" s="464">
        <f>PL!C10</f>
        <v>0</v>
      </c>
      <c r="E207" s="464">
        <f>PL!D10</f>
        <v>0</v>
      </c>
      <c r="F207" s="464">
        <f>PL!E10</f>
        <v>0</v>
      </c>
      <c r="G207" s="464">
        <f>PL!F10</f>
        <v>0</v>
      </c>
      <c r="H207" s="464">
        <f>PL!G10</f>
        <v>0</v>
      </c>
      <c r="I207" s="464">
        <f>PL!H10</f>
        <v>0</v>
      </c>
    </row>
    <row r="208" spans="2:9" x14ac:dyDescent="0.25">
      <c r="B208" s="457" t="e">
        <f t="shared" si="24"/>
        <v>#REF!</v>
      </c>
      <c r="C208" s="464" t="e">
        <f>PL!#REF!</f>
        <v>#REF!</v>
      </c>
      <c r="D208" s="464" t="e">
        <f>PL!#REF!</f>
        <v>#REF!</v>
      </c>
      <c r="E208" s="464" t="e">
        <f>PL!#REF!</f>
        <v>#REF!</v>
      </c>
      <c r="F208" s="464" t="e">
        <f>PL!#REF!</f>
        <v>#REF!</v>
      </c>
      <c r="G208" s="464" t="e">
        <f>PL!#REF!</f>
        <v>#REF!</v>
      </c>
      <c r="H208" s="464" t="e">
        <f>PL!#REF!</f>
        <v>#REF!</v>
      </c>
      <c r="I208" s="464" t="e">
        <f>PL!#REF!</f>
        <v>#REF!</v>
      </c>
    </row>
    <row r="209" spans="2:13" x14ac:dyDescent="0.25">
      <c r="B209" s="457" t="s">
        <v>346</v>
      </c>
      <c r="C209" s="464" t="e">
        <f>SUM(C202:C208)</f>
        <v>#REF!</v>
      </c>
      <c r="D209" s="464" t="e">
        <f t="shared" ref="D209:I209" si="25">SUM(D202:D208)</f>
        <v>#REF!</v>
      </c>
      <c r="E209" s="464" t="e">
        <f t="shared" si="25"/>
        <v>#REF!</v>
      </c>
      <c r="F209" s="464" t="e">
        <f t="shared" si="25"/>
        <v>#REF!</v>
      </c>
      <c r="G209" s="464" t="e">
        <f t="shared" si="25"/>
        <v>#REF!</v>
      </c>
      <c r="H209" s="464" t="e">
        <f t="shared" si="25"/>
        <v>#REF!</v>
      </c>
      <c r="I209" s="464" t="e">
        <f t="shared" si="25"/>
        <v>#REF!</v>
      </c>
    </row>
    <row r="210" spans="2:13" x14ac:dyDescent="0.25">
      <c r="B210" s="457" t="s">
        <v>347</v>
      </c>
      <c r="C210" s="464"/>
      <c r="D210" s="464"/>
      <c r="E210" s="464"/>
      <c r="F210" s="464"/>
      <c r="G210" s="464"/>
      <c r="H210" s="464"/>
      <c r="I210" s="464"/>
    </row>
    <row r="211" spans="2:13" x14ac:dyDescent="0.25">
      <c r="B211" s="457" t="s">
        <v>348</v>
      </c>
      <c r="C211" s="464">
        <f>PL!B30</f>
        <v>2638329.1445559999</v>
      </c>
      <c r="D211" s="464">
        <f>PL!C30</f>
        <v>2752732.9091119999</v>
      </c>
      <c r="E211" s="464">
        <f>PL!D30</f>
        <v>2873324.1736679999</v>
      </c>
      <c r="F211" s="464">
        <f>PL!E30</f>
        <v>3000412.3132240004</v>
      </c>
      <c r="G211" s="464">
        <f>PL!F30</f>
        <v>3134322.1715300004</v>
      </c>
      <c r="H211" s="464">
        <f>PL!G30</f>
        <v>3275394.8345235009</v>
      </c>
      <c r="I211" s="464">
        <f>PL!H30</f>
        <v>3423988.4424388758</v>
      </c>
    </row>
    <row r="212" spans="2:13" x14ac:dyDescent="0.25">
      <c r="B212" s="457" t="s">
        <v>307</v>
      </c>
      <c r="C212" s="464">
        <f>PL!B20*(1-$L$159)</f>
        <v>29617045.699221216</v>
      </c>
      <c r="D212" s="464">
        <f>PL!C20*(1-$L$159)</f>
        <v>33764506.137289651</v>
      </c>
      <c r="E212" s="464">
        <f>PL!D20*(1-$L$159)</f>
        <v>37986097.395213842</v>
      </c>
      <c r="F212" s="464">
        <f>PL!E20*(1-$L$159)</f>
        <v>42542249.403091237</v>
      </c>
      <c r="G212" s="464">
        <f>PL!F20*(1-$L$159)</f>
        <v>47455883.897309557</v>
      </c>
      <c r="H212" s="464">
        <f>PL!G20*(1-$L$159)</f>
        <v>52751484.274873734</v>
      </c>
      <c r="I212" s="464">
        <f>PL!H20*(1-$L$159)</f>
        <v>58455088.566273324</v>
      </c>
    </row>
    <row r="213" spans="2:13" x14ac:dyDescent="0.25">
      <c r="B213" s="457" t="s">
        <v>349</v>
      </c>
      <c r="C213" s="464">
        <f t="shared" ref="C213:I213" si="26">SUM(C211:C212)</f>
        <v>32255374.843777217</v>
      </c>
      <c r="D213" s="464">
        <f t="shared" si="26"/>
        <v>36517239.04640165</v>
      </c>
      <c r="E213" s="464">
        <f t="shared" si="26"/>
        <v>40859421.56888184</v>
      </c>
      <c r="F213" s="464">
        <f t="shared" si="26"/>
        <v>45542661.71631524</v>
      </c>
      <c r="G213" s="464">
        <f t="shared" si="26"/>
        <v>50590206.068839557</v>
      </c>
      <c r="H213" s="464">
        <f t="shared" si="26"/>
        <v>56026879.109397233</v>
      </c>
      <c r="I213" s="464">
        <f t="shared" si="26"/>
        <v>61879077.008712202</v>
      </c>
    </row>
    <row r="214" spans="2:13" x14ac:dyDescent="0.25">
      <c r="B214" s="460" t="s">
        <v>350</v>
      </c>
      <c r="C214" s="468" t="e">
        <f t="shared" ref="C214:I214" si="27">+C209-C213</f>
        <v>#REF!</v>
      </c>
      <c r="D214" s="468" t="e">
        <f t="shared" si="27"/>
        <v>#REF!</v>
      </c>
      <c r="E214" s="468" t="e">
        <f t="shared" si="27"/>
        <v>#REF!</v>
      </c>
      <c r="F214" s="468" t="e">
        <f t="shared" si="27"/>
        <v>#REF!</v>
      </c>
      <c r="G214" s="468" t="e">
        <f t="shared" si="27"/>
        <v>#REF!</v>
      </c>
      <c r="H214" s="468" t="e">
        <f t="shared" si="27"/>
        <v>#REF!</v>
      </c>
      <c r="I214" s="468" t="e">
        <f t="shared" si="27"/>
        <v>#REF!</v>
      </c>
    </row>
    <row r="216" spans="2:13" ht="41.1" customHeight="1" x14ac:dyDescent="0.25">
      <c r="B216" s="591" t="s">
        <v>526</v>
      </c>
      <c r="C216" s="591"/>
      <c r="D216" s="591"/>
      <c r="E216" s="591"/>
      <c r="F216" s="591"/>
      <c r="G216" s="591"/>
      <c r="H216" s="591"/>
      <c r="I216" s="591"/>
      <c r="J216" s="469"/>
      <c r="K216" s="469"/>
      <c r="L216" s="469"/>
      <c r="M216" s="469"/>
    </row>
  </sheetData>
  <mergeCells count="21">
    <mergeCell ref="B3:J3"/>
    <mergeCell ref="B24:I24"/>
    <mergeCell ref="B53:I53"/>
    <mergeCell ref="B22:J22"/>
    <mergeCell ref="B49:J49"/>
    <mergeCell ref="B216:I216"/>
    <mergeCell ref="B155:I155"/>
    <mergeCell ref="K155:R155"/>
    <mergeCell ref="D18:J18"/>
    <mergeCell ref="D20:J20"/>
    <mergeCell ref="B74:J74"/>
    <mergeCell ref="B87:I87"/>
    <mergeCell ref="B102:J102"/>
    <mergeCell ref="B118:J118"/>
    <mergeCell ref="B103:I103"/>
    <mergeCell ref="B75:I75"/>
    <mergeCell ref="C81:I81"/>
    <mergeCell ref="C82:I82"/>
    <mergeCell ref="C84:I84"/>
    <mergeCell ref="B89:J89"/>
    <mergeCell ref="B106:I106"/>
  </mergeCells>
  <hyperlinks>
    <hyperlink ref="B22" r:id="rId1" display="https://www.investopedia.com/terms/d/discountrate.asp"/>
  </hyperlinks>
  <pageMargins left="0.70866141732283472" right="0.70866141732283472" top="0.18" bottom="0.21" header="0.13" footer="0.16"/>
  <pageSetup paperSize="9" scale="7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6"/>
  <sheetViews>
    <sheetView zoomScale="68" zoomScaleNormal="80" zoomScaleSheetLayoutView="80" workbookViewId="0">
      <selection activeCell="K47" sqref="K47:Q47"/>
    </sheetView>
  </sheetViews>
  <sheetFormatPr defaultColWidth="8.7109375" defaultRowHeight="15" x14ac:dyDescent="0.25"/>
  <cols>
    <col min="1" max="1" width="46.42578125" style="192" bestFit="1" customWidth="1"/>
    <col min="2" max="2" width="20.5703125" style="192" customWidth="1"/>
    <col min="3" max="3" width="11.5703125" style="192" customWidth="1"/>
    <col min="4" max="4" width="15.85546875" style="192" bestFit="1" customWidth="1"/>
    <col min="5" max="5" width="15.140625" style="192" customWidth="1"/>
    <col min="6" max="6" width="15.85546875" style="192" customWidth="1"/>
    <col min="7" max="7" width="15.140625" style="192" bestFit="1" customWidth="1"/>
    <col min="8" max="8" width="19.7109375" style="192" bestFit="1" customWidth="1"/>
    <col min="9" max="9" width="11.42578125" style="192" bestFit="1" customWidth="1"/>
    <col min="10" max="10" width="9.140625" style="192" bestFit="1" customWidth="1"/>
    <col min="11" max="16384" width="8.7109375" style="192"/>
  </cols>
  <sheetData>
    <row r="1" spans="1:26" ht="14.45" x14ac:dyDescent="0.35">
      <c r="A1" s="565" t="s">
        <v>583</v>
      </c>
      <c r="B1" s="565"/>
      <c r="C1" s="565"/>
      <c r="D1" s="565"/>
      <c r="E1" s="565"/>
      <c r="F1" s="565"/>
      <c r="G1" s="565"/>
      <c r="H1" s="565"/>
    </row>
    <row r="2" spans="1:26" ht="14.45" x14ac:dyDescent="0.35">
      <c r="B2" s="346"/>
    </row>
    <row r="3" spans="1:26" ht="14.45" x14ac:dyDescent="0.35">
      <c r="A3" s="571" t="s">
        <v>554</v>
      </c>
      <c r="B3" s="571"/>
    </row>
    <row r="4" spans="1:26" ht="14.45" x14ac:dyDescent="0.35">
      <c r="A4" s="273" t="s">
        <v>0</v>
      </c>
      <c r="B4" s="274" t="s">
        <v>383</v>
      </c>
      <c r="C4" s="413"/>
      <c r="D4" s="413"/>
      <c r="E4" s="413"/>
      <c r="F4" s="413"/>
      <c r="G4" s="413"/>
      <c r="H4" s="413"/>
    </row>
    <row r="5" spans="1:26" ht="14.45" x14ac:dyDescent="0.35">
      <c r="A5" s="312" t="s">
        <v>486</v>
      </c>
      <c r="B5" s="359">
        <v>307</v>
      </c>
      <c r="C5" s="414"/>
      <c r="D5" s="415"/>
      <c r="E5" s="415"/>
      <c r="F5" s="415"/>
      <c r="G5" s="415"/>
      <c r="H5" s="415"/>
    </row>
    <row r="6" spans="1:26" ht="14.45" x14ac:dyDescent="0.35">
      <c r="A6" s="312" t="s">
        <v>487</v>
      </c>
      <c r="B6" s="359">
        <f>B5*3</f>
        <v>921</v>
      </c>
      <c r="C6" s="414"/>
      <c r="D6" s="415"/>
      <c r="E6" s="415"/>
      <c r="F6" s="415"/>
      <c r="G6" s="415"/>
      <c r="H6" s="415"/>
    </row>
    <row r="7" spans="1:26" ht="14.45" x14ac:dyDescent="0.35">
      <c r="A7" s="347" t="s">
        <v>1</v>
      </c>
      <c r="B7" s="366">
        <f>B5+B6</f>
        <v>1228</v>
      </c>
      <c r="C7" s="416"/>
      <c r="D7" s="417"/>
      <c r="E7" s="417"/>
      <c r="F7" s="417"/>
      <c r="G7" s="417"/>
      <c r="H7" s="417"/>
    </row>
    <row r="8" spans="1:26" ht="14.45" x14ac:dyDescent="0.35">
      <c r="A8" s="347" t="s">
        <v>488</v>
      </c>
      <c r="B8" s="418">
        <v>4.4000000000000004</v>
      </c>
      <c r="C8" s="416"/>
      <c r="D8" s="416"/>
      <c r="E8" s="416"/>
      <c r="F8" s="416"/>
      <c r="G8" s="416"/>
      <c r="H8" s="416"/>
    </row>
    <row r="9" spans="1:26" ht="14.45" x14ac:dyDescent="0.35">
      <c r="A9" s="347" t="s">
        <v>493</v>
      </c>
      <c r="B9" s="419">
        <f>B7*B8</f>
        <v>5403.2000000000007</v>
      </c>
      <c r="C9" s="417"/>
      <c r="D9" s="417"/>
      <c r="E9" s="417"/>
      <c r="F9" s="417"/>
      <c r="G9" s="417"/>
      <c r="H9" s="417"/>
    </row>
    <row r="10" spans="1:26" ht="14.45" x14ac:dyDescent="0.35">
      <c r="J10" s="192" t="s">
        <v>445</v>
      </c>
      <c r="O10" s="192" t="s">
        <v>441</v>
      </c>
      <c r="U10" s="192" t="s">
        <v>442</v>
      </c>
      <c r="Y10" s="192" t="s">
        <v>443</v>
      </c>
      <c r="Z10" s="192" t="s">
        <v>444</v>
      </c>
    </row>
    <row r="11" spans="1:26" ht="14.45" x14ac:dyDescent="0.35">
      <c r="A11" s="565" t="s">
        <v>555</v>
      </c>
      <c r="B11" s="565"/>
      <c r="C11" s="565"/>
      <c r="D11" s="565"/>
      <c r="E11" s="565"/>
      <c r="F11" s="565"/>
      <c r="G11" s="565"/>
      <c r="H11" s="565"/>
      <c r="I11" s="108"/>
      <c r="J11" s="108"/>
      <c r="K11" s="108"/>
      <c r="L11" s="108"/>
      <c r="M11" s="108"/>
      <c r="N11" s="108"/>
      <c r="O11" s="108"/>
      <c r="P11" s="108"/>
    </row>
    <row r="12" spans="1:26" ht="14.45" x14ac:dyDescent="0.35">
      <c r="J12" s="420">
        <v>0.65</v>
      </c>
      <c r="K12" s="421">
        <f>J12+0.05</f>
        <v>0.70000000000000007</v>
      </c>
      <c r="L12" s="421">
        <f t="shared" ref="L12:N12" si="0">K12+0.05</f>
        <v>0.75000000000000011</v>
      </c>
      <c r="M12" s="421">
        <f t="shared" si="0"/>
        <v>0.80000000000000016</v>
      </c>
      <c r="N12" s="421">
        <f t="shared" si="0"/>
        <v>0.8500000000000002</v>
      </c>
      <c r="O12" s="420">
        <v>0.4</v>
      </c>
      <c r="P12" s="420">
        <f>O12+0.05</f>
        <v>0.45</v>
      </c>
      <c r="Q12" s="420">
        <f t="shared" ref="Q12:T12" si="1">P12+0.05</f>
        <v>0.5</v>
      </c>
      <c r="R12" s="420">
        <f t="shared" si="1"/>
        <v>0.55000000000000004</v>
      </c>
      <c r="S12" s="420">
        <f t="shared" si="1"/>
        <v>0.60000000000000009</v>
      </c>
      <c r="T12" s="420">
        <f t="shared" si="1"/>
        <v>0.65000000000000013</v>
      </c>
      <c r="U12" s="420">
        <v>0.1</v>
      </c>
      <c r="V12" s="344">
        <f>U12+0.05</f>
        <v>0.15000000000000002</v>
      </c>
      <c r="W12" s="344">
        <f t="shared" ref="W12:X12" si="2">V12+0.05</f>
        <v>0.2</v>
      </c>
      <c r="X12" s="344">
        <f t="shared" si="2"/>
        <v>0.25</v>
      </c>
    </row>
    <row r="13" spans="1:26" ht="43.5" x14ac:dyDescent="0.35">
      <c r="A13" s="273" t="s">
        <v>386</v>
      </c>
      <c r="B13" s="273" t="s">
        <v>387</v>
      </c>
      <c r="C13" s="357" t="s">
        <v>438</v>
      </c>
      <c r="D13" s="357" t="s">
        <v>446</v>
      </c>
      <c r="E13" s="357" t="s">
        <v>447</v>
      </c>
      <c r="F13" s="357" t="s">
        <v>388</v>
      </c>
      <c r="G13" s="357" t="s">
        <v>624</v>
      </c>
      <c r="H13" s="357" t="s">
        <v>389</v>
      </c>
      <c r="O13" s="422" t="s">
        <v>2</v>
      </c>
      <c r="P13" s="422" t="s">
        <v>3</v>
      </c>
      <c r="Q13" s="422" t="s">
        <v>4</v>
      </c>
      <c r="R13" s="422" t="s">
        <v>5</v>
      </c>
      <c r="S13" s="422" t="s">
        <v>6</v>
      </c>
      <c r="T13" s="422" t="s">
        <v>2</v>
      </c>
      <c r="U13" s="422" t="s">
        <v>3</v>
      </c>
      <c r="V13" s="422" t="s">
        <v>4</v>
      </c>
      <c r="W13" s="422" t="s">
        <v>5</v>
      </c>
      <c r="X13" s="422" t="s">
        <v>6</v>
      </c>
    </row>
    <row r="14" spans="1:26" ht="14.45" hidden="1" x14ac:dyDescent="0.35">
      <c r="A14" s="606" t="s">
        <v>390</v>
      </c>
      <c r="B14" s="359" t="s">
        <v>163</v>
      </c>
      <c r="C14" s="423">
        <v>0</v>
      </c>
      <c r="D14" s="312">
        <f t="shared" ref="D14:D23" si="3">$B$9*C14</f>
        <v>0</v>
      </c>
      <c r="E14" s="388">
        <v>15</v>
      </c>
      <c r="F14" s="312">
        <f>D14*E14</f>
        <v>0</v>
      </c>
      <c r="G14" s="308">
        <v>0.1</v>
      </c>
      <c r="H14" s="312">
        <f>(F14-F14*G14)</f>
        <v>0</v>
      </c>
      <c r="J14" s="192">
        <f>$D$14*J12</f>
        <v>0</v>
      </c>
      <c r="K14" s="192">
        <f>$D$14*K12</f>
        <v>0</v>
      </c>
      <c r="L14" s="192">
        <f>$D$14*L12</f>
        <v>0</v>
      </c>
      <c r="M14" s="192">
        <f>$D$14*M12</f>
        <v>0</v>
      </c>
      <c r="N14" s="192">
        <f>$D$14*N12</f>
        <v>0</v>
      </c>
    </row>
    <row r="15" spans="1:26" ht="14.45" hidden="1" x14ac:dyDescent="0.35">
      <c r="A15" s="607"/>
      <c r="B15" s="359" t="s">
        <v>468</v>
      </c>
      <c r="C15" s="423">
        <v>0</v>
      </c>
      <c r="D15" s="312">
        <f t="shared" si="3"/>
        <v>0</v>
      </c>
      <c r="E15" s="388">
        <v>7</v>
      </c>
      <c r="F15" s="312">
        <f t="shared" ref="F15:F37" si="4">D15*E15</f>
        <v>0</v>
      </c>
      <c r="G15" s="308">
        <v>0.05</v>
      </c>
      <c r="H15" s="312">
        <f>(F15-F15*G15)</f>
        <v>0</v>
      </c>
    </row>
    <row r="16" spans="1:26" ht="14.45" hidden="1" x14ac:dyDescent="0.35">
      <c r="A16" s="607"/>
      <c r="B16" s="359" t="s">
        <v>467</v>
      </c>
      <c r="C16" s="423">
        <v>0</v>
      </c>
      <c r="D16" s="312">
        <f t="shared" si="3"/>
        <v>0</v>
      </c>
      <c r="E16" s="388">
        <v>22</v>
      </c>
      <c r="F16" s="312">
        <f t="shared" si="4"/>
        <v>0</v>
      </c>
      <c r="G16" s="308">
        <v>0</v>
      </c>
      <c r="H16" s="312">
        <f t="shared" ref="H16:H37" si="5">(F16-F16*G16)</f>
        <v>0</v>
      </c>
    </row>
    <row r="17" spans="1:10" ht="14.45" hidden="1" x14ac:dyDescent="0.35">
      <c r="A17" s="607"/>
      <c r="B17" s="359" t="s">
        <v>703</v>
      </c>
      <c r="C17" s="423">
        <v>0</v>
      </c>
      <c r="D17" s="312">
        <f t="shared" si="3"/>
        <v>0</v>
      </c>
      <c r="E17" s="388">
        <v>7</v>
      </c>
      <c r="F17" s="312">
        <f t="shared" si="4"/>
        <v>0</v>
      </c>
      <c r="G17" s="308">
        <v>0.02</v>
      </c>
      <c r="H17" s="312">
        <f t="shared" si="5"/>
        <v>0</v>
      </c>
    </row>
    <row r="18" spans="1:10" ht="14.45" hidden="1" x14ac:dyDescent="0.35">
      <c r="A18" s="607"/>
      <c r="B18" s="359" t="s">
        <v>704</v>
      </c>
      <c r="C18" s="423">
        <v>0</v>
      </c>
      <c r="D18" s="312">
        <f t="shared" si="3"/>
        <v>0</v>
      </c>
      <c r="E18" s="388">
        <v>80</v>
      </c>
      <c r="F18" s="312">
        <f t="shared" si="4"/>
        <v>0</v>
      </c>
      <c r="G18" s="308">
        <v>0</v>
      </c>
      <c r="H18" s="312">
        <f t="shared" si="5"/>
        <v>0</v>
      </c>
    </row>
    <row r="19" spans="1:10" ht="14.45" hidden="1" x14ac:dyDescent="0.35">
      <c r="A19" s="607"/>
      <c r="B19" s="359" t="s">
        <v>466</v>
      </c>
      <c r="C19" s="423">
        <v>0</v>
      </c>
      <c r="D19" s="312">
        <f t="shared" si="3"/>
        <v>0</v>
      </c>
      <c r="E19" s="388">
        <v>7</v>
      </c>
      <c r="F19" s="312">
        <f t="shared" si="4"/>
        <v>0</v>
      </c>
      <c r="G19" s="308">
        <v>0.1</v>
      </c>
      <c r="H19" s="312">
        <f t="shared" si="5"/>
        <v>0</v>
      </c>
    </row>
    <row r="20" spans="1:10" ht="14.45" hidden="1" x14ac:dyDescent="0.35">
      <c r="A20" s="607"/>
      <c r="B20" s="359" t="s">
        <v>688</v>
      </c>
      <c r="C20" s="423">
        <v>0</v>
      </c>
      <c r="D20" s="312">
        <f t="shared" si="3"/>
        <v>0</v>
      </c>
      <c r="E20" s="388">
        <v>8</v>
      </c>
      <c r="F20" s="312">
        <f t="shared" si="4"/>
        <v>0</v>
      </c>
      <c r="G20" s="308">
        <v>0.1</v>
      </c>
      <c r="H20" s="312">
        <f t="shared" si="5"/>
        <v>0</v>
      </c>
      <c r="I20" s="192">
        <f>+H20+H35</f>
        <v>12838.003200000003</v>
      </c>
      <c r="J20" s="192">
        <v>21710</v>
      </c>
    </row>
    <row r="21" spans="1:10" ht="14.45" hidden="1" x14ac:dyDescent="0.35">
      <c r="A21" s="607"/>
      <c r="B21" s="359" t="s">
        <v>394</v>
      </c>
      <c r="C21" s="423">
        <v>0</v>
      </c>
      <c r="D21" s="312">
        <f t="shared" si="3"/>
        <v>0</v>
      </c>
      <c r="E21" s="388">
        <v>4</v>
      </c>
      <c r="F21" s="312">
        <f t="shared" si="4"/>
        <v>0</v>
      </c>
      <c r="G21" s="308">
        <v>0</v>
      </c>
      <c r="H21" s="312">
        <f t="shared" si="5"/>
        <v>0</v>
      </c>
    </row>
    <row r="22" spans="1:10" ht="14.45" hidden="1" x14ac:dyDescent="0.35">
      <c r="A22" s="608"/>
      <c r="B22" s="359" t="s">
        <v>469</v>
      </c>
      <c r="C22" s="423">
        <v>0</v>
      </c>
      <c r="D22" s="312">
        <f t="shared" si="3"/>
        <v>0</v>
      </c>
      <c r="E22" s="388">
        <v>9</v>
      </c>
      <c r="F22" s="312">
        <f t="shared" si="4"/>
        <v>0</v>
      </c>
      <c r="G22" s="308">
        <v>0</v>
      </c>
      <c r="H22" s="312">
        <f t="shared" si="5"/>
        <v>0</v>
      </c>
    </row>
    <row r="23" spans="1:10" ht="14.45" hidden="1" x14ac:dyDescent="0.35">
      <c r="A23" s="225"/>
      <c r="B23" s="359" t="s">
        <v>460</v>
      </c>
      <c r="C23" s="423">
        <v>0</v>
      </c>
      <c r="D23" s="312">
        <f t="shared" si="3"/>
        <v>0</v>
      </c>
      <c r="E23" s="388">
        <v>6</v>
      </c>
      <c r="F23" s="312">
        <f t="shared" si="4"/>
        <v>0</v>
      </c>
      <c r="G23" s="308">
        <v>0.02</v>
      </c>
      <c r="H23" s="312">
        <f t="shared" si="5"/>
        <v>0</v>
      </c>
    </row>
    <row r="24" spans="1:10" ht="14.45" hidden="1" x14ac:dyDescent="0.35">
      <c r="A24" s="225" t="s">
        <v>473</v>
      </c>
      <c r="B24" s="368">
        <v>0.5</v>
      </c>
      <c r="C24" s="424">
        <f>B9*B24</f>
        <v>2701.6000000000004</v>
      </c>
      <c r="D24" s="312"/>
      <c r="E24" s="388"/>
      <c r="F24" s="312"/>
      <c r="G24" s="308"/>
      <c r="H24" s="312"/>
    </row>
    <row r="25" spans="1:10" ht="14.45" hidden="1" x14ac:dyDescent="0.35">
      <c r="A25" s="606" t="s">
        <v>391</v>
      </c>
      <c r="B25" s="359" t="s">
        <v>392</v>
      </c>
      <c r="C25" s="423">
        <v>0</v>
      </c>
      <c r="D25" s="312">
        <f>C$24*C25</f>
        <v>0</v>
      </c>
      <c r="E25" s="388">
        <v>10</v>
      </c>
      <c r="F25" s="312">
        <f t="shared" si="4"/>
        <v>0</v>
      </c>
      <c r="G25" s="308">
        <v>0.1</v>
      </c>
      <c r="H25" s="312">
        <f t="shared" si="5"/>
        <v>0</v>
      </c>
    </row>
    <row r="26" spans="1:10" ht="14.45" hidden="1" x14ac:dyDescent="0.35">
      <c r="A26" s="607"/>
      <c r="B26" s="359" t="s">
        <v>393</v>
      </c>
      <c r="C26" s="423">
        <v>0</v>
      </c>
      <c r="D26" s="312">
        <f>C$24*C26</f>
        <v>0</v>
      </c>
      <c r="E26" s="388">
        <v>10</v>
      </c>
      <c r="F26" s="312">
        <f t="shared" si="4"/>
        <v>0</v>
      </c>
      <c r="G26" s="308">
        <v>0.1</v>
      </c>
      <c r="H26" s="312">
        <f t="shared" si="5"/>
        <v>0</v>
      </c>
    </row>
    <row r="27" spans="1:10" ht="14.45" hidden="1" x14ac:dyDescent="0.35">
      <c r="A27" s="607"/>
      <c r="B27" s="359" t="s">
        <v>394</v>
      </c>
      <c r="C27" s="423">
        <v>0</v>
      </c>
      <c r="D27" s="312">
        <f>C$24*C27</f>
        <v>0</v>
      </c>
      <c r="E27" s="388">
        <v>10</v>
      </c>
      <c r="F27" s="312">
        <f t="shared" si="4"/>
        <v>0</v>
      </c>
      <c r="G27" s="308">
        <v>0.05</v>
      </c>
      <c r="H27" s="312">
        <f t="shared" si="5"/>
        <v>0</v>
      </c>
    </row>
    <row r="28" spans="1:10" ht="14.45" hidden="1" x14ac:dyDescent="0.35">
      <c r="A28" s="607"/>
      <c r="B28" s="359" t="s">
        <v>704</v>
      </c>
      <c r="C28" s="423">
        <v>0</v>
      </c>
      <c r="D28" s="312">
        <f t="shared" ref="D28:D32" si="6">C$24*C28</f>
        <v>0</v>
      </c>
      <c r="E28" s="388">
        <v>20</v>
      </c>
      <c r="F28" s="312">
        <f t="shared" si="4"/>
        <v>0</v>
      </c>
      <c r="G28" s="308">
        <v>0.05</v>
      </c>
      <c r="H28" s="312">
        <f t="shared" si="5"/>
        <v>0</v>
      </c>
    </row>
    <row r="29" spans="1:10" ht="14.45" hidden="1" x14ac:dyDescent="0.35">
      <c r="A29" s="607"/>
      <c r="B29" s="359" t="s">
        <v>470</v>
      </c>
      <c r="C29" s="423">
        <v>0</v>
      </c>
      <c r="D29" s="312">
        <f t="shared" si="6"/>
        <v>0</v>
      </c>
      <c r="E29" s="388">
        <v>5</v>
      </c>
      <c r="F29" s="312">
        <f t="shared" si="4"/>
        <v>0</v>
      </c>
      <c r="G29" s="308">
        <v>0.05</v>
      </c>
      <c r="H29" s="312">
        <f t="shared" si="5"/>
        <v>0</v>
      </c>
    </row>
    <row r="30" spans="1:10" ht="14.45" hidden="1" x14ac:dyDescent="0.35">
      <c r="A30" s="607"/>
      <c r="B30" s="359"/>
      <c r="C30" s="423">
        <v>0</v>
      </c>
      <c r="D30" s="312">
        <f t="shared" si="6"/>
        <v>0</v>
      </c>
      <c r="E30" s="388"/>
      <c r="F30" s="312">
        <f t="shared" si="4"/>
        <v>0</v>
      </c>
      <c r="G30" s="308">
        <v>0</v>
      </c>
      <c r="H30" s="312">
        <f t="shared" si="5"/>
        <v>0</v>
      </c>
    </row>
    <row r="31" spans="1:10" ht="14.45" hidden="1" x14ac:dyDescent="0.35">
      <c r="A31" s="607"/>
      <c r="B31" s="359"/>
      <c r="C31" s="423">
        <v>0</v>
      </c>
      <c r="D31" s="312">
        <f t="shared" si="6"/>
        <v>0</v>
      </c>
      <c r="E31" s="388"/>
      <c r="F31" s="312">
        <f t="shared" si="4"/>
        <v>0</v>
      </c>
      <c r="G31" s="308">
        <v>0</v>
      </c>
      <c r="H31" s="312">
        <f t="shared" si="5"/>
        <v>0</v>
      </c>
    </row>
    <row r="32" spans="1:10" ht="14.45" hidden="1" x14ac:dyDescent="0.35">
      <c r="A32" s="608"/>
      <c r="B32" s="359"/>
      <c r="C32" s="423">
        <v>0</v>
      </c>
      <c r="D32" s="312">
        <f t="shared" si="6"/>
        <v>0</v>
      </c>
      <c r="E32" s="388"/>
      <c r="F32" s="312">
        <f t="shared" si="4"/>
        <v>0</v>
      </c>
      <c r="G32" s="308">
        <v>0</v>
      </c>
      <c r="H32" s="312">
        <f t="shared" si="5"/>
        <v>0</v>
      </c>
    </row>
    <row r="33" spans="1:17" ht="14.45" hidden="1" x14ac:dyDescent="0.35">
      <c r="A33" s="225" t="s">
        <v>472</v>
      </c>
      <c r="B33" s="368">
        <v>0.6</v>
      </c>
      <c r="C33" s="360">
        <f>B9*B33</f>
        <v>3241.9200000000005</v>
      </c>
      <c r="D33" s="312"/>
      <c r="E33" s="388"/>
      <c r="F33" s="312"/>
      <c r="G33" s="308"/>
      <c r="H33" s="312"/>
    </row>
    <row r="34" spans="1:17" ht="14.45" hidden="1" x14ac:dyDescent="0.35">
      <c r="A34" s="203" t="s">
        <v>451</v>
      </c>
      <c r="B34" s="359" t="s">
        <v>471</v>
      </c>
      <c r="C34" s="423">
        <v>0</v>
      </c>
      <c r="D34" s="312">
        <f>C$33*C34</f>
        <v>0</v>
      </c>
      <c r="E34" s="388">
        <v>20</v>
      </c>
      <c r="F34" s="312">
        <f t="shared" si="4"/>
        <v>0</v>
      </c>
      <c r="G34" s="308">
        <v>0.1</v>
      </c>
      <c r="H34" s="312">
        <f t="shared" si="5"/>
        <v>0</v>
      </c>
    </row>
    <row r="35" spans="1:17" ht="14.45" x14ac:dyDescent="0.35">
      <c r="A35" s="226"/>
      <c r="B35" s="359" t="s">
        <v>688</v>
      </c>
      <c r="C35" s="423">
        <v>0.5</v>
      </c>
      <c r="D35" s="385">
        <f>C$33*C35</f>
        <v>1620.9600000000003</v>
      </c>
      <c r="E35" s="388">
        <f>+E20</f>
        <v>8</v>
      </c>
      <c r="F35" s="385">
        <f t="shared" si="4"/>
        <v>12967.680000000002</v>
      </c>
      <c r="G35" s="308">
        <v>0.01</v>
      </c>
      <c r="H35" s="385">
        <f t="shared" si="5"/>
        <v>12838.003200000003</v>
      </c>
    </row>
    <row r="36" spans="1:17" ht="14.45" hidden="1" x14ac:dyDescent="0.35">
      <c r="A36" s="226"/>
      <c r="B36" s="359"/>
      <c r="C36" s="423">
        <v>0</v>
      </c>
      <c r="D36" s="312">
        <f>C$33*C36</f>
        <v>0</v>
      </c>
      <c r="E36" s="388"/>
      <c r="F36" s="312">
        <f t="shared" si="4"/>
        <v>0</v>
      </c>
      <c r="G36" s="308">
        <v>0</v>
      </c>
      <c r="H36" s="312">
        <f t="shared" si="5"/>
        <v>0</v>
      </c>
    </row>
    <row r="37" spans="1:17" ht="14.45" hidden="1" x14ac:dyDescent="0.35">
      <c r="A37" s="205"/>
      <c r="B37" s="359"/>
      <c r="C37" s="423">
        <v>0</v>
      </c>
      <c r="D37" s="312">
        <f>C$33*C37</f>
        <v>0</v>
      </c>
      <c r="E37" s="388"/>
      <c r="F37" s="312">
        <f t="shared" si="4"/>
        <v>0</v>
      </c>
      <c r="G37" s="308">
        <v>0</v>
      </c>
      <c r="H37" s="312">
        <f t="shared" si="5"/>
        <v>0</v>
      </c>
    </row>
    <row r="38" spans="1:17" ht="14.45" x14ac:dyDescent="0.35">
      <c r="A38" s="605" t="s">
        <v>395</v>
      </c>
      <c r="B38" s="605"/>
      <c r="C38" s="605"/>
      <c r="D38" s="605"/>
      <c r="E38" s="605"/>
      <c r="F38" s="605"/>
      <c r="G38" s="605"/>
      <c r="H38" s="605"/>
    </row>
    <row r="39" spans="1:17" ht="14.45" hidden="1" x14ac:dyDescent="0.35">
      <c r="A39" s="405"/>
      <c r="B39" s="405"/>
      <c r="C39" s="405"/>
      <c r="D39" s="405"/>
      <c r="E39" s="405"/>
      <c r="F39" s="405"/>
      <c r="G39" s="405"/>
      <c r="H39" s="405"/>
    </row>
    <row r="40" spans="1:17" ht="14.45" hidden="1" x14ac:dyDescent="0.35">
      <c r="A40" s="405"/>
      <c r="B40" s="405"/>
      <c r="C40" s="405"/>
      <c r="D40" s="405"/>
      <c r="E40" s="405"/>
      <c r="F40" s="405"/>
      <c r="G40" s="405"/>
      <c r="H40" s="405"/>
    </row>
    <row r="41" spans="1:17" ht="14.45" hidden="1" x14ac:dyDescent="0.35">
      <c r="A41" s="405"/>
      <c r="B41" s="405"/>
      <c r="C41" s="405"/>
      <c r="D41" s="405"/>
      <c r="E41" s="405"/>
      <c r="F41" s="405"/>
      <c r="G41" s="405"/>
      <c r="H41" s="405"/>
    </row>
    <row r="42" spans="1:17" ht="14.45" hidden="1" x14ac:dyDescent="0.35">
      <c r="A42" s="405"/>
      <c r="B42" s="405"/>
      <c r="C42" s="405"/>
      <c r="D42" s="405"/>
      <c r="E42" s="405"/>
      <c r="F42" s="405"/>
      <c r="G42" s="405"/>
      <c r="H42" s="405"/>
    </row>
    <row r="43" spans="1:17" ht="14.45" hidden="1" x14ac:dyDescent="0.35">
      <c r="A43" s="405"/>
      <c r="B43" s="405"/>
      <c r="C43" s="405"/>
      <c r="D43" s="405"/>
      <c r="E43" s="405"/>
      <c r="F43" s="405"/>
      <c r="G43" s="405"/>
      <c r="H43" s="405"/>
    </row>
    <row r="44" spans="1:17" ht="14.45" hidden="1" x14ac:dyDescent="0.35">
      <c r="A44" s="405"/>
      <c r="B44" s="405"/>
      <c r="C44" s="405"/>
      <c r="D44" s="405"/>
      <c r="E44" s="405"/>
      <c r="F44" s="405"/>
      <c r="G44" s="405"/>
      <c r="H44" s="405"/>
    </row>
    <row r="45" spans="1:17" ht="14.45" hidden="1" x14ac:dyDescent="0.35">
      <c r="A45" s="405"/>
      <c r="B45" s="405"/>
      <c r="C45" s="405"/>
      <c r="D45" s="405"/>
      <c r="E45" s="405"/>
      <c r="F45" s="405"/>
      <c r="G45" s="405"/>
      <c r="H45" s="405"/>
    </row>
    <row r="46" spans="1:17" x14ac:dyDescent="0.25">
      <c r="A46" s="609" t="s">
        <v>556</v>
      </c>
      <c r="B46" s="610"/>
      <c r="C46" s="610"/>
      <c r="D46" s="610"/>
      <c r="E46" s="610"/>
      <c r="F46" s="610"/>
      <c r="G46" s="610"/>
      <c r="H46" s="611"/>
    </row>
    <row r="47" spans="1:17" x14ac:dyDescent="0.25">
      <c r="A47" s="612" t="s">
        <v>0</v>
      </c>
      <c r="B47" s="425">
        <v>0.6</v>
      </c>
      <c r="C47" s="425">
        <f>B47+5%</f>
        <v>0.65</v>
      </c>
      <c r="D47" s="425">
        <f t="shared" ref="D47:H47" si="7">C47+5%</f>
        <v>0.70000000000000007</v>
      </c>
      <c r="E47" s="425">
        <f t="shared" si="7"/>
        <v>0.75000000000000011</v>
      </c>
      <c r="F47" s="425">
        <f t="shared" si="7"/>
        <v>0.80000000000000016</v>
      </c>
      <c r="G47" s="425">
        <f t="shared" si="7"/>
        <v>0.8500000000000002</v>
      </c>
      <c r="H47" s="425">
        <f t="shared" si="7"/>
        <v>0.90000000000000024</v>
      </c>
      <c r="J47" s="602" t="s">
        <v>1331</v>
      </c>
      <c r="K47" s="425">
        <f>+B47+B72</f>
        <v>0.63</v>
      </c>
      <c r="L47" s="425">
        <f t="shared" ref="L47:Q47" si="8">+C47+C72</f>
        <v>0.68200000000000005</v>
      </c>
      <c r="M47" s="425">
        <f t="shared" si="8"/>
        <v>0.7340000000000001</v>
      </c>
      <c r="N47" s="425">
        <f t="shared" si="8"/>
        <v>0.78600000000000014</v>
      </c>
      <c r="O47" s="425">
        <f t="shared" si="8"/>
        <v>0.83800000000000019</v>
      </c>
      <c r="P47" s="425">
        <f t="shared" si="8"/>
        <v>0.89000000000000024</v>
      </c>
      <c r="Q47" s="425">
        <f t="shared" si="8"/>
        <v>0.94200000000000028</v>
      </c>
    </row>
    <row r="48" spans="1:17" x14ac:dyDescent="0.25">
      <c r="A48" s="613"/>
      <c r="B48" s="274" t="s">
        <v>2</v>
      </c>
      <c r="C48" s="274" t="s">
        <v>3</v>
      </c>
      <c r="D48" s="274" t="s">
        <v>4</v>
      </c>
      <c r="E48" s="274" t="s">
        <v>5</v>
      </c>
      <c r="F48" s="274" t="s">
        <v>6</v>
      </c>
      <c r="G48" s="274" t="s">
        <v>165</v>
      </c>
      <c r="H48" s="274" t="s">
        <v>164</v>
      </c>
      <c r="J48" s="602"/>
      <c r="K48" s="274" t="s">
        <v>2</v>
      </c>
      <c r="L48" s="274" t="s">
        <v>3</v>
      </c>
      <c r="M48" s="274" t="s">
        <v>4</v>
      </c>
      <c r="N48" s="274" t="s">
        <v>5</v>
      </c>
      <c r="O48" s="274" t="s">
        <v>6</v>
      </c>
      <c r="P48" s="274" t="s">
        <v>165</v>
      </c>
      <c r="Q48" s="274" t="s">
        <v>164</v>
      </c>
    </row>
    <row r="49" spans="1:8" ht="15" hidden="1" customHeight="1" x14ac:dyDescent="0.25">
      <c r="A49" s="312" t="str">
        <f t="shared" ref="A49:A57" si="9">B14</f>
        <v>Soybean</v>
      </c>
      <c r="B49" s="312">
        <v>0</v>
      </c>
      <c r="C49" s="312">
        <f t="shared" ref="C49:D58" si="10">(B49/B$47)*C$47</f>
        <v>0</v>
      </c>
      <c r="D49" s="312">
        <f t="shared" si="10"/>
        <v>0</v>
      </c>
      <c r="E49" s="312">
        <v>0</v>
      </c>
      <c r="F49" s="312">
        <v>0</v>
      </c>
      <c r="G49" s="312">
        <v>0</v>
      </c>
      <c r="H49" s="312">
        <v>0</v>
      </c>
    </row>
    <row r="50" spans="1:8" ht="15" hidden="1" customHeight="1" x14ac:dyDescent="0.25">
      <c r="A50" s="312" t="str">
        <f t="shared" si="9"/>
        <v>Red Gram/Tur</v>
      </c>
      <c r="B50" s="312">
        <v>0</v>
      </c>
      <c r="C50" s="312">
        <f t="shared" si="10"/>
        <v>0</v>
      </c>
      <c r="D50" s="312">
        <f t="shared" si="10"/>
        <v>0</v>
      </c>
      <c r="E50" s="312">
        <v>0</v>
      </c>
      <c r="F50" s="312">
        <v>0</v>
      </c>
      <c r="G50" s="312">
        <v>0</v>
      </c>
      <c r="H50" s="312">
        <v>0</v>
      </c>
    </row>
    <row r="51" spans="1:8" ht="15" hidden="1" customHeight="1" x14ac:dyDescent="0.25">
      <c r="A51" s="312" t="str">
        <f t="shared" si="9"/>
        <v>Paddy/Rice</v>
      </c>
      <c r="B51" s="312">
        <v>0</v>
      </c>
      <c r="C51" s="312">
        <f t="shared" si="10"/>
        <v>0</v>
      </c>
      <c r="D51" s="312">
        <f t="shared" si="10"/>
        <v>0</v>
      </c>
      <c r="E51" s="312">
        <v>0</v>
      </c>
      <c r="F51" s="312">
        <v>0</v>
      </c>
      <c r="G51" s="312">
        <v>0</v>
      </c>
      <c r="H51" s="312">
        <v>0</v>
      </c>
    </row>
    <row r="52" spans="1:8" ht="15" hidden="1" customHeight="1" x14ac:dyDescent="0.25">
      <c r="A52" s="312" t="str">
        <f t="shared" si="9"/>
        <v>Masoor/ Moong</v>
      </c>
      <c r="B52" s="312">
        <v>0</v>
      </c>
      <c r="C52" s="312">
        <f t="shared" si="10"/>
        <v>0</v>
      </c>
      <c r="D52" s="312">
        <f t="shared" si="10"/>
        <v>0</v>
      </c>
      <c r="E52" s="312">
        <v>0</v>
      </c>
      <c r="F52" s="312">
        <v>0</v>
      </c>
      <c r="G52" s="312">
        <v>0</v>
      </c>
      <c r="H52" s="312">
        <v>0</v>
      </c>
    </row>
    <row r="53" spans="1:8" ht="15" hidden="1" customHeight="1" x14ac:dyDescent="0.25">
      <c r="A53" s="312" t="str">
        <f t="shared" si="9"/>
        <v>Sweet Potato</v>
      </c>
      <c r="B53" s="312">
        <v>0</v>
      </c>
      <c r="C53" s="312">
        <f t="shared" si="10"/>
        <v>0</v>
      </c>
      <c r="D53" s="312">
        <f t="shared" si="10"/>
        <v>0</v>
      </c>
      <c r="E53" s="312">
        <v>0</v>
      </c>
      <c r="F53" s="312">
        <v>0</v>
      </c>
      <c r="G53" s="312">
        <v>0</v>
      </c>
      <c r="H53" s="312">
        <v>0</v>
      </c>
    </row>
    <row r="54" spans="1:8" ht="15" hidden="1" customHeight="1" x14ac:dyDescent="0.25">
      <c r="A54" s="312" t="str">
        <f t="shared" si="9"/>
        <v>Black Gram/Udid</v>
      </c>
      <c r="B54" s="312">
        <f>H19*$B$47</f>
        <v>0</v>
      </c>
      <c r="C54" s="312">
        <f t="shared" si="10"/>
        <v>0</v>
      </c>
      <c r="D54" s="312">
        <f t="shared" si="10"/>
        <v>0</v>
      </c>
      <c r="E54" s="312">
        <v>0</v>
      </c>
      <c r="F54" s="312">
        <v>0</v>
      </c>
      <c r="G54" s="312">
        <v>0</v>
      </c>
      <c r="H54" s="312">
        <v>0</v>
      </c>
    </row>
    <row r="55" spans="1:8" ht="15" hidden="1" customHeight="1" x14ac:dyDescent="0.25">
      <c r="A55" s="312" t="str">
        <f t="shared" si="9"/>
        <v>RAGI</v>
      </c>
      <c r="B55" s="312">
        <f>H20*$B$47</f>
        <v>0</v>
      </c>
      <c r="C55" s="312">
        <f t="shared" si="10"/>
        <v>0</v>
      </c>
      <c r="D55" s="312">
        <f t="shared" si="10"/>
        <v>0</v>
      </c>
      <c r="E55" s="312">
        <v>0</v>
      </c>
      <c r="F55" s="312">
        <v>0</v>
      </c>
      <c r="G55" s="312">
        <v>0</v>
      </c>
      <c r="H55" s="312">
        <v>0</v>
      </c>
    </row>
    <row r="56" spans="1:8" ht="15" hidden="1" customHeight="1" x14ac:dyDescent="0.25">
      <c r="A56" s="312" t="str">
        <f t="shared" si="9"/>
        <v>Jawar</v>
      </c>
      <c r="B56" s="312">
        <v>0</v>
      </c>
      <c r="C56" s="312">
        <f t="shared" si="10"/>
        <v>0</v>
      </c>
      <c r="D56" s="312">
        <f t="shared" si="10"/>
        <v>0</v>
      </c>
      <c r="E56" s="312">
        <v>0</v>
      </c>
      <c r="F56" s="312">
        <v>0</v>
      </c>
      <c r="G56" s="312">
        <v>0</v>
      </c>
      <c r="H56" s="312">
        <v>0</v>
      </c>
    </row>
    <row r="57" spans="1:8" ht="15" hidden="1" customHeight="1" x14ac:dyDescent="0.25">
      <c r="A57" s="312" t="str">
        <f t="shared" si="9"/>
        <v>Sunflower</v>
      </c>
      <c r="B57" s="312">
        <v>0</v>
      </c>
      <c r="C57" s="312">
        <f t="shared" si="10"/>
        <v>0</v>
      </c>
      <c r="D57" s="312">
        <f t="shared" si="10"/>
        <v>0</v>
      </c>
      <c r="E57" s="312">
        <v>0</v>
      </c>
      <c r="F57" s="312">
        <v>0</v>
      </c>
      <c r="G57" s="312">
        <v>0</v>
      </c>
      <c r="H57" s="312">
        <v>0</v>
      </c>
    </row>
    <row r="58" spans="1:8" ht="15" hidden="1" customHeight="1" x14ac:dyDescent="0.25">
      <c r="A58" s="312" t="str">
        <f t="shared" ref="A58:A65" si="11">B25</f>
        <v>Wheat</v>
      </c>
      <c r="B58" s="312">
        <v>0</v>
      </c>
      <c r="C58" s="312">
        <f t="shared" si="10"/>
        <v>0</v>
      </c>
      <c r="D58" s="312">
        <f t="shared" si="10"/>
        <v>0</v>
      </c>
      <c r="E58" s="312">
        <v>0</v>
      </c>
      <c r="F58" s="312">
        <v>0</v>
      </c>
      <c r="G58" s="312">
        <v>0</v>
      </c>
      <c r="H58" s="312">
        <v>0</v>
      </c>
    </row>
    <row r="59" spans="1:8" ht="15" hidden="1" customHeight="1" x14ac:dyDescent="0.25">
      <c r="A59" s="312" t="str">
        <f t="shared" si="11"/>
        <v>Bengal Gram/Channa</v>
      </c>
      <c r="B59" s="312">
        <v>0</v>
      </c>
      <c r="C59" s="312">
        <f t="shared" ref="C59:D68" si="12">(B59/B$47)*C$47</f>
        <v>0</v>
      </c>
      <c r="D59" s="312">
        <f t="shared" si="12"/>
        <v>0</v>
      </c>
      <c r="E59" s="312">
        <v>0</v>
      </c>
      <c r="F59" s="312">
        <v>0</v>
      </c>
      <c r="G59" s="312">
        <v>0</v>
      </c>
      <c r="H59" s="312">
        <v>0</v>
      </c>
    </row>
    <row r="60" spans="1:8" ht="15" hidden="1" customHeight="1" x14ac:dyDescent="0.25">
      <c r="A60" s="312" t="str">
        <f t="shared" si="11"/>
        <v>Jawar</v>
      </c>
      <c r="B60" s="312">
        <f>H27*$B$47</f>
        <v>0</v>
      </c>
      <c r="C60" s="312">
        <f t="shared" si="12"/>
        <v>0</v>
      </c>
      <c r="D60" s="312">
        <f t="shared" si="12"/>
        <v>0</v>
      </c>
      <c r="E60" s="312">
        <v>0</v>
      </c>
      <c r="F60" s="312">
        <v>0</v>
      </c>
      <c r="G60" s="312">
        <v>0</v>
      </c>
      <c r="H60" s="312">
        <v>0</v>
      </c>
    </row>
    <row r="61" spans="1:8" ht="15" hidden="1" customHeight="1" x14ac:dyDescent="0.25">
      <c r="A61" s="312" t="str">
        <f t="shared" si="11"/>
        <v>Sweet Potato</v>
      </c>
      <c r="B61" s="312">
        <v>0</v>
      </c>
      <c r="C61" s="312">
        <f t="shared" si="12"/>
        <v>0</v>
      </c>
      <c r="D61" s="312">
        <f t="shared" si="12"/>
        <v>0</v>
      </c>
      <c r="E61" s="312">
        <v>0</v>
      </c>
      <c r="F61" s="312">
        <v>0</v>
      </c>
      <c r="G61" s="312">
        <v>0</v>
      </c>
      <c r="H61" s="312">
        <v>0</v>
      </c>
    </row>
    <row r="62" spans="1:8" ht="15" hidden="1" customHeight="1" x14ac:dyDescent="0.25">
      <c r="A62" s="312" t="str">
        <f t="shared" si="11"/>
        <v>Safflower</v>
      </c>
      <c r="B62" s="312">
        <v>0</v>
      </c>
      <c r="C62" s="312">
        <f t="shared" si="12"/>
        <v>0</v>
      </c>
      <c r="D62" s="312">
        <f t="shared" si="12"/>
        <v>0</v>
      </c>
      <c r="E62" s="312">
        <v>0</v>
      </c>
      <c r="F62" s="312">
        <v>0</v>
      </c>
      <c r="G62" s="312">
        <v>0</v>
      </c>
      <c r="H62" s="312">
        <v>0</v>
      </c>
    </row>
    <row r="63" spans="1:8" ht="15" hidden="1" customHeight="1" x14ac:dyDescent="0.25">
      <c r="A63" s="312">
        <f t="shared" si="11"/>
        <v>0</v>
      </c>
      <c r="B63" s="312">
        <f>H30*$B$47</f>
        <v>0</v>
      </c>
      <c r="C63" s="312">
        <f t="shared" si="12"/>
        <v>0</v>
      </c>
      <c r="D63" s="312">
        <f t="shared" si="12"/>
        <v>0</v>
      </c>
      <c r="E63" s="312">
        <v>0</v>
      </c>
      <c r="F63" s="312">
        <v>0</v>
      </c>
      <c r="G63" s="312">
        <v>0</v>
      </c>
      <c r="H63" s="312">
        <v>0</v>
      </c>
    </row>
    <row r="64" spans="1:8" ht="15" hidden="1" customHeight="1" x14ac:dyDescent="0.25">
      <c r="A64" s="312">
        <f t="shared" si="11"/>
        <v>0</v>
      </c>
      <c r="B64" s="312">
        <f>H31*$B$47</f>
        <v>0</v>
      </c>
      <c r="C64" s="312">
        <f t="shared" si="12"/>
        <v>0</v>
      </c>
      <c r="D64" s="312">
        <f t="shared" si="12"/>
        <v>0</v>
      </c>
      <c r="E64" s="312">
        <v>0</v>
      </c>
      <c r="F64" s="312">
        <v>0</v>
      </c>
      <c r="G64" s="312">
        <v>0</v>
      </c>
      <c r="H64" s="312">
        <v>0</v>
      </c>
    </row>
    <row r="65" spans="1:18" ht="15" hidden="1" customHeight="1" x14ac:dyDescent="0.25">
      <c r="A65" s="312">
        <f t="shared" si="11"/>
        <v>0</v>
      </c>
      <c r="B65" s="312">
        <f>H32*$B$47</f>
        <v>0</v>
      </c>
      <c r="C65" s="312">
        <f t="shared" si="12"/>
        <v>0</v>
      </c>
      <c r="D65" s="312">
        <f t="shared" si="12"/>
        <v>0</v>
      </c>
      <c r="E65" s="312">
        <v>0</v>
      </c>
      <c r="F65" s="312">
        <v>0</v>
      </c>
      <c r="G65" s="312">
        <v>0</v>
      </c>
      <c r="H65" s="312">
        <v>0</v>
      </c>
    </row>
    <row r="66" spans="1:18" ht="15" hidden="1" customHeight="1" x14ac:dyDescent="0.25">
      <c r="A66" s="312" t="str">
        <f>B34</f>
        <v>Groundnut</v>
      </c>
      <c r="B66" s="312">
        <v>0</v>
      </c>
      <c r="C66" s="312">
        <f t="shared" si="12"/>
        <v>0</v>
      </c>
      <c r="D66" s="312">
        <f t="shared" si="12"/>
        <v>0</v>
      </c>
      <c r="E66" s="312">
        <v>0</v>
      </c>
      <c r="F66" s="312">
        <v>0</v>
      </c>
      <c r="G66" s="312">
        <v>0</v>
      </c>
      <c r="H66" s="312">
        <v>0</v>
      </c>
    </row>
    <row r="67" spans="1:18" x14ac:dyDescent="0.25">
      <c r="A67" s="312" t="str">
        <f>B35</f>
        <v>RAGI</v>
      </c>
      <c r="B67" s="385">
        <f>$H$35*B47</f>
        <v>7702.8019200000017</v>
      </c>
      <c r="C67" s="385">
        <f t="shared" ref="C67:H67" si="13">$H$35*C47</f>
        <v>8344.7020800000028</v>
      </c>
      <c r="D67" s="385">
        <f t="shared" si="13"/>
        <v>8986.602240000002</v>
      </c>
      <c r="E67" s="385">
        <f t="shared" si="13"/>
        <v>9628.502400000003</v>
      </c>
      <c r="F67" s="385">
        <f t="shared" si="13"/>
        <v>10270.402560000004</v>
      </c>
      <c r="G67" s="385">
        <f t="shared" si="13"/>
        <v>10912.302720000005</v>
      </c>
      <c r="H67" s="385">
        <f t="shared" si="13"/>
        <v>11554.202880000006</v>
      </c>
      <c r="J67" s="192" t="s">
        <v>1063</v>
      </c>
      <c r="K67" s="386">
        <f>+B67+B92</f>
        <v>8087.9420160000018</v>
      </c>
      <c r="L67" s="386">
        <f t="shared" ref="L67:Q67" si="14">+C67+C92</f>
        <v>8755.5181824000028</v>
      </c>
      <c r="M67" s="386">
        <f t="shared" si="14"/>
        <v>9423.094348800003</v>
      </c>
      <c r="N67" s="386">
        <f t="shared" si="14"/>
        <v>10090.670515200003</v>
      </c>
      <c r="O67" s="386">
        <f t="shared" si="14"/>
        <v>10758.246681600005</v>
      </c>
      <c r="P67" s="386">
        <f t="shared" si="14"/>
        <v>11425.822848000005</v>
      </c>
      <c r="Q67" s="386">
        <f t="shared" si="14"/>
        <v>12093.399014400007</v>
      </c>
      <c r="R67" s="386"/>
    </row>
    <row r="68" spans="1:18" ht="14.45" hidden="1" x14ac:dyDescent="0.35">
      <c r="A68" s="312">
        <f>B36</f>
        <v>0</v>
      </c>
      <c r="B68" s="312">
        <f>H36*$B$47</f>
        <v>0</v>
      </c>
      <c r="C68" s="312">
        <f t="shared" si="12"/>
        <v>0</v>
      </c>
      <c r="D68" s="312">
        <f t="shared" si="12"/>
        <v>0</v>
      </c>
      <c r="E68" s="312">
        <v>0</v>
      </c>
      <c r="F68" s="312">
        <v>0</v>
      </c>
      <c r="G68" s="312">
        <v>0</v>
      </c>
      <c r="H68" s="312">
        <v>0</v>
      </c>
    </row>
    <row r="69" spans="1:18" ht="14.45" hidden="1" x14ac:dyDescent="0.35">
      <c r="A69" s="312">
        <f>B37</f>
        <v>0</v>
      </c>
      <c r="B69" s="312">
        <f>H37*$B$47</f>
        <v>0</v>
      </c>
      <c r="C69" s="312">
        <f t="shared" ref="C69:D69" si="15">(B69/B$47)*C$47</f>
        <v>0</v>
      </c>
      <c r="D69" s="312">
        <f t="shared" si="15"/>
        <v>0</v>
      </c>
      <c r="E69" s="312">
        <v>0</v>
      </c>
      <c r="F69" s="312">
        <v>0</v>
      </c>
      <c r="G69" s="312">
        <v>0</v>
      </c>
      <c r="H69" s="312">
        <v>0</v>
      </c>
    </row>
    <row r="71" spans="1:18" ht="14.45" x14ac:dyDescent="0.35">
      <c r="A71" s="614" t="s">
        <v>557</v>
      </c>
      <c r="B71" s="615"/>
      <c r="C71" s="615"/>
      <c r="D71" s="615"/>
      <c r="E71" s="615"/>
      <c r="F71" s="615"/>
      <c r="G71" s="615"/>
      <c r="H71" s="616"/>
    </row>
    <row r="72" spans="1:18" x14ac:dyDescent="0.25">
      <c r="A72" s="617" t="s">
        <v>0</v>
      </c>
      <c r="B72" s="426">
        <v>0.03</v>
      </c>
      <c r="C72" s="426">
        <f>B72+0.2%</f>
        <v>3.2000000000000001E-2</v>
      </c>
      <c r="D72" s="426">
        <f t="shared" ref="D72:H72" si="16">C72+0.2%</f>
        <v>3.4000000000000002E-2</v>
      </c>
      <c r="E72" s="426">
        <f t="shared" si="16"/>
        <v>3.6000000000000004E-2</v>
      </c>
      <c r="F72" s="426">
        <f t="shared" si="16"/>
        <v>3.8000000000000006E-2</v>
      </c>
      <c r="G72" s="426">
        <f t="shared" si="16"/>
        <v>4.0000000000000008E-2</v>
      </c>
      <c r="H72" s="426">
        <f t="shared" si="16"/>
        <v>4.200000000000001E-2</v>
      </c>
    </row>
    <row r="73" spans="1:18" x14ac:dyDescent="0.25">
      <c r="A73" s="618"/>
      <c r="B73" s="274" t="s">
        <v>2</v>
      </c>
      <c r="C73" s="274" t="s">
        <v>3</v>
      </c>
      <c r="D73" s="274" t="s">
        <v>4</v>
      </c>
      <c r="E73" s="274" t="s">
        <v>5</v>
      </c>
      <c r="F73" s="274" t="s">
        <v>6</v>
      </c>
      <c r="G73" s="274" t="s">
        <v>165</v>
      </c>
      <c r="H73" s="274" t="s">
        <v>164</v>
      </c>
    </row>
    <row r="74" spans="1:18" s="427" customFormat="1" ht="14.45" hidden="1" x14ac:dyDescent="0.35">
      <c r="A74" s="312" t="str">
        <f t="shared" ref="A74:A89" si="17">A49</f>
        <v>Soybean</v>
      </c>
      <c r="B74" s="312">
        <f>H14*$B$72*0</f>
        <v>0</v>
      </c>
      <c r="C74" s="312">
        <f>(B74/B$72)*C$72</f>
        <v>0</v>
      </c>
      <c r="D74" s="312">
        <f t="shared" ref="D74:H75" si="18">(C74/C$72)*D$72</f>
        <v>0</v>
      </c>
      <c r="E74" s="312">
        <f t="shared" si="18"/>
        <v>0</v>
      </c>
      <c r="F74" s="312">
        <f t="shared" si="18"/>
        <v>0</v>
      </c>
      <c r="G74" s="312">
        <f t="shared" si="18"/>
        <v>0</v>
      </c>
      <c r="H74" s="312">
        <f t="shared" si="18"/>
        <v>0</v>
      </c>
    </row>
    <row r="75" spans="1:18" ht="14.45" hidden="1" x14ac:dyDescent="0.35">
      <c r="A75" s="312" t="str">
        <f t="shared" si="17"/>
        <v>Red Gram/Tur</v>
      </c>
      <c r="B75" s="312">
        <v>0</v>
      </c>
      <c r="C75" s="312">
        <f>(B75/B$72)*C$72</f>
        <v>0</v>
      </c>
      <c r="D75" s="312">
        <f t="shared" si="18"/>
        <v>0</v>
      </c>
      <c r="E75" s="312">
        <f t="shared" si="18"/>
        <v>0</v>
      </c>
      <c r="F75" s="312">
        <f t="shared" si="18"/>
        <v>0</v>
      </c>
      <c r="G75" s="312">
        <f t="shared" si="18"/>
        <v>0</v>
      </c>
      <c r="H75" s="312">
        <f t="shared" si="18"/>
        <v>0</v>
      </c>
    </row>
    <row r="76" spans="1:18" ht="14.45" hidden="1" x14ac:dyDescent="0.35">
      <c r="A76" s="312" t="str">
        <f t="shared" si="17"/>
        <v>Paddy/Rice</v>
      </c>
      <c r="B76" s="312">
        <v>0</v>
      </c>
      <c r="C76" s="312">
        <f t="shared" ref="C76:H76" si="19">(B76/B$72)*C$72</f>
        <v>0</v>
      </c>
      <c r="D76" s="312">
        <f t="shared" si="19"/>
        <v>0</v>
      </c>
      <c r="E76" s="312">
        <f t="shared" si="19"/>
        <v>0</v>
      </c>
      <c r="F76" s="312">
        <f t="shared" si="19"/>
        <v>0</v>
      </c>
      <c r="G76" s="312">
        <f t="shared" si="19"/>
        <v>0</v>
      </c>
      <c r="H76" s="312">
        <f t="shared" si="19"/>
        <v>0</v>
      </c>
    </row>
    <row r="77" spans="1:18" ht="14.45" hidden="1" x14ac:dyDescent="0.35">
      <c r="A77" s="312" t="str">
        <f t="shared" si="17"/>
        <v>Masoor/ Moong</v>
      </c>
      <c r="B77" s="312">
        <v>0</v>
      </c>
      <c r="C77" s="312">
        <f t="shared" ref="C77:H77" si="20">(B77/B$72)*C$72</f>
        <v>0</v>
      </c>
      <c r="D77" s="312">
        <f t="shared" si="20"/>
        <v>0</v>
      </c>
      <c r="E77" s="312">
        <f t="shared" si="20"/>
        <v>0</v>
      </c>
      <c r="F77" s="312">
        <f t="shared" si="20"/>
        <v>0</v>
      </c>
      <c r="G77" s="312">
        <f t="shared" si="20"/>
        <v>0</v>
      </c>
      <c r="H77" s="312">
        <f t="shared" si="20"/>
        <v>0</v>
      </c>
    </row>
    <row r="78" spans="1:18" ht="14.45" hidden="1" x14ac:dyDescent="0.35">
      <c r="A78" s="312" t="str">
        <f t="shared" si="17"/>
        <v>Sweet Potato</v>
      </c>
      <c r="B78" s="312">
        <v>0</v>
      </c>
      <c r="C78" s="312">
        <f t="shared" ref="C78:H78" si="21">(B78/B$72)*C$72</f>
        <v>0</v>
      </c>
      <c r="D78" s="312">
        <f t="shared" si="21"/>
        <v>0</v>
      </c>
      <c r="E78" s="312">
        <f t="shared" si="21"/>
        <v>0</v>
      </c>
      <c r="F78" s="312">
        <f t="shared" si="21"/>
        <v>0</v>
      </c>
      <c r="G78" s="312">
        <f t="shared" si="21"/>
        <v>0</v>
      </c>
      <c r="H78" s="312">
        <f t="shared" si="21"/>
        <v>0</v>
      </c>
    </row>
    <row r="79" spans="1:18" ht="14.45" hidden="1" x14ac:dyDescent="0.35">
      <c r="A79" s="312" t="str">
        <f t="shared" si="17"/>
        <v>Black Gram/Udid</v>
      </c>
      <c r="B79" s="312">
        <f>H19*$B$72</f>
        <v>0</v>
      </c>
      <c r="C79" s="312">
        <f t="shared" ref="C79:H79" si="22">(B79/B$72)*C$72</f>
        <v>0</v>
      </c>
      <c r="D79" s="312">
        <f t="shared" si="22"/>
        <v>0</v>
      </c>
      <c r="E79" s="312">
        <f t="shared" si="22"/>
        <v>0</v>
      </c>
      <c r="F79" s="312">
        <f t="shared" si="22"/>
        <v>0</v>
      </c>
      <c r="G79" s="312">
        <f t="shared" si="22"/>
        <v>0</v>
      </c>
      <c r="H79" s="312">
        <f t="shared" si="22"/>
        <v>0</v>
      </c>
    </row>
    <row r="80" spans="1:18" ht="14.45" hidden="1" x14ac:dyDescent="0.35">
      <c r="A80" s="312" t="str">
        <f t="shared" si="17"/>
        <v>RAGI</v>
      </c>
      <c r="B80" s="312">
        <f>H20*$B$72</f>
        <v>0</v>
      </c>
      <c r="C80" s="312">
        <f t="shared" ref="C80:H80" si="23">(B80/B$72)*C$72</f>
        <v>0</v>
      </c>
      <c r="D80" s="312">
        <f t="shared" si="23"/>
        <v>0</v>
      </c>
      <c r="E80" s="312">
        <f t="shared" si="23"/>
        <v>0</v>
      </c>
      <c r="F80" s="312">
        <f t="shared" si="23"/>
        <v>0</v>
      </c>
      <c r="G80" s="312">
        <f t="shared" si="23"/>
        <v>0</v>
      </c>
      <c r="H80" s="312">
        <f t="shared" si="23"/>
        <v>0</v>
      </c>
    </row>
    <row r="81" spans="1:9" ht="14.45" hidden="1" x14ac:dyDescent="0.35">
      <c r="A81" s="312" t="str">
        <f t="shared" si="17"/>
        <v>Jawar</v>
      </c>
      <c r="B81" s="312">
        <v>0</v>
      </c>
      <c r="C81" s="312">
        <f t="shared" ref="C81:H81" si="24">(B81/B$72)*C$72</f>
        <v>0</v>
      </c>
      <c r="D81" s="312">
        <f t="shared" si="24"/>
        <v>0</v>
      </c>
      <c r="E81" s="312">
        <f t="shared" si="24"/>
        <v>0</v>
      </c>
      <c r="F81" s="312">
        <f t="shared" si="24"/>
        <v>0</v>
      </c>
      <c r="G81" s="312">
        <f t="shared" si="24"/>
        <v>0</v>
      </c>
      <c r="H81" s="312">
        <f t="shared" si="24"/>
        <v>0</v>
      </c>
    </row>
    <row r="82" spans="1:9" ht="14.45" hidden="1" x14ac:dyDescent="0.35">
      <c r="A82" s="312" t="str">
        <f t="shared" si="17"/>
        <v>Sunflower</v>
      </c>
      <c r="B82" s="312">
        <v>0</v>
      </c>
      <c r="C82" s="312">
        <f t="shared" ref="C82:H82" si="25">(B82/B$72)*C$72</f>
        <v>0</v>
      </c>
      <c r="D82" s="312">
        <f t="shared" si="25"/>
        <v>0</v>
      </c>
      <c r="E82" s="312">
        <f t="shared" si="25"/>
        <v>0</v>
      </c>
      <c r="F82" s="312">
        <f t="shared" si="25"/>
        <v>0</v>
      </c>
      <c r="G82" s="312">
        <f t="shared" si="25"/>
        <v>0</v>
      </c>
      <c r="H82" s="312">
        <f t="shared" si="25"/>
        <v>0</v>
      </c>
    </row>
    <row r="83" spans="1:9" ht="14.45" hidden="1" x14ac:dyDescent="0.35">
      <c r="A83" s="312" t="str">
        <f t="shared" si="17"/>
        <v>Wheat</v>
      </c>
      <c r="B83" s="312">
        <v>0</v>
      </c>
      <c r="C83" s="312">
        <f t="shared" ref="C83:H83" si="26">(B83/B$72)*C$72</f>
        <v>0</v>
      </c>
      <c r="D83" s="312">
        <f t="shared" si="26"/>
        <v>0</v>
      </c>
      <c r="E83" s="312">
        <f t="shared" si="26"/>
        <v>0</v>
      </c>
      <c r="F83" s="312">
        <f t="shared" si="26"/>
        <v>0</v>
      </c>
      <c r="G83" s="312">
        <f t="shared" si="26"/>
        <v>0</v>
      </c>
      <c r="H83" s="312">
        <f t="shared" si="26"/>
        <v>0</v>
      </c>
    </row>
    <row r="84" spans="1:9" ht="14.45" hidden="1" x14ac:dyDescent="0.35">
      <c r="A84" s="312" t="str">
        <f t="shared" si="17"/>
        <v>Bengal Gram/Channa</v>
      </c>
      <c r="B84" s="312">
        <v>0</v>
      </c>
      <c r="C84" s="312">
        <f t="shared" ref="C84:H84" si="27">(B84/B$72)*C$72</f>
        <v>0</v>
      </c>
      <c r="D84" s="312">
        <f t="shared" si="27"/>
        <v>0</v>
      </c>
      <c r="E84" s="312">
        <f t="shared" si="27"/>
        <v>0</v>
      </c>
      <c r="F84" s="312">
        <f t="shared" si="27"/>
        <v>0</v>
      </c>
      <c r="G84" s="312">
        <f t="shared" si="27"/>
        <v>0</v>
      </c>
      <c r="H84" s="312">
        <f t="shared" si="27"/>
        <v>0</v>
      </c>
    </row>
    <row r="85" spans="1:9" ht="14.45" hidden="1" x14ac:dyDescent="0.35">
      <c r="A85" s="312" t="str">
        <f t="shared" si="17"/>
        <v>Jawar</v>
      </c>
      <c r="B85" s="312">
        <f>H27*$B$72</f>
        <v>0</v>
      </c>
      <c r="C85" s="312">
        <f t="shared" ref="C85:H85" si="28">(B85/B$72)*C$72</f>
        <v>0</v>
      </c>
      <c r="D85" s="312">
        <f t="shared" si="28"/>
        <v>0</v>
      </c>
      <c r="E85" s="312">
        <f t="shared" si="28"/>
        <v>0</v>
      </c>
      <c r="F85" s="312">
        <f t="shared" si="28"/>
        <v>0</v>
      </c>
      <c r="G85" s="312">
        <f t="shared" si="28"/>
        <v>0</v>
      </c>
      <c r="H85" s="312">
        <f t="shared" si="28"/>
        <v>0</v>
      </c>
    </row>
    <row r="86" spans="1:9" ht="14.45" hidden="1" x14ac:dyDescent="0.35">
      <c r="A86" s="312" t="str">
        <f t="shared" si="17"/>
        <v>Sweet Potato</v>
      </c>
      <c r="B86" s="312">
        <v>0</v>
      </c>
      <c r="C86" s="312">
        <f t="shared" ref="C86:H86" si="29">(B86/B$72)*C$72</f>
        <v>0</v>
      </c>
      <c r="D86" s="312">
        <f t="shared" si="29"/>
        <v>0</v>
      </c>
      <c r="E86" s="312">
        <f t="shared" si="29"/>
        <v>0</v>
      </c>
      <c r="F86" s="312">
        <f t="shared" si="29"/>
        <v>0</v>
      </c>
      <c r="G86" s="312">
        <f t="shared" si="29"/>
        <v>0</v>
      </c>
      <c r="H86" s="312">
        <f t="shared" si="29"/>
        <v>0</v>
      </c>
    </row>
    <row r="87" spans="1:9" ht="14.45" hidden="1" x14ac:dyDescent="0.35">
      <c r="A87" s="312" t="str">
        <f t="shared" si="17"/>
        <v>Safflower</v>
      </c>
      <c r="B87" s="312">
        <v>0</v>
      </c>
      <c r="C87" s="312">
        <f t="shared" ref="C87:H87" si="30">(B87/B$72)*C$72</f>
        <v>0</v>
      </c>
      <c r="D87" s="312">
        <f t="shared" si="30"/>
        <v>0</v>
      </c>
      <c r="E87" s="312">
        <f t="shared" si="30"/>
        <v>0</v>
      </c>
      <c r="F87" s="312">
        <f t="shared" si="30"/>
        <v>0</v>
      </c>
      <c r="G87" s="312">
        <f t="shared" si="30"/>
        <v>0</v>
      </c>
      <c r="H87" s="312">
        <f t="shared" si="30"/>
        <v>0</v>
      </c>
    </row>
    <row r="88" spans="1:9" ht="14.45" hidden="1" x14ac:dyDescent="0.35">
      <c r="A88" s="312">
        <f t="shared" si="17"/>
        <v>0</v>
      </c>
      <c r="B88" s="312">
        <f>H30*$B$72</f>
        <v>0</v>
      </c>
      <c r="C88" s="312">
        <f t="shared" ref="C88:H88" si="31">(B88/B$72)*C$72</f>
        <v>0</v>
      </c>
      <c r="D88" s="312">
        <f t="shared" si="31"/>
        <v>0</v>
      </c>
      <c r="E88" s="312">
        <f t="shared" si="31"/>
        <v>0</v>
      </c>
      <c r="F88" s="312">
        <f t="shared" si="31"/>
        <v>0</v>
      </c>
      <c r="G88" s="312">
        <f t="shared" si="31"/>
        <v>0</v>
      </c>
      <c r="H88" s="312">
        <f t="shared" si="31"/>
        <v>0</v>
      </c>
    </row>
    <row r="89" spans="1:9" ht="14.45" hidden="1" x14ac:dyDescent="0.35">
      <c r="A89" s="312">
        <f t="shared" si="17"/>
        <v>0</v>
      </c>
      <c r="B89" s="312">
        <f>H31*$B$72</f>
        <v>0</v>
      </c>
      <c r="C89" s="312">
        <f t="shared" ref="C89:H89" si="32">(B89/B$72)*C$72</f>
        <v>0</v>
      </c>
      <c r="D89" s="312">
        <f t="shared" si="32"/>
        <v>0</v>
      </c>
      <c r="E89" s="312">
        <f t="shared" si="32"/>
        <v>0</v>
      </c>
      <c r="F89" s="312">
        <f t="shared" si="32"/>
        <v>0</v>
      </c>
      <c r="G89" s="312">
        <f t="shared" si="32"/>
        <v>0</v>
      </c>
      <c r="H89" s="312">
        <f t="shared" si="32"/>
        <v>0</v>
      </c>
    </row>
    <row r="90" spans="1:9" ht="14.45" hidden="1" x14ac:dyDescent="0.35">
      <c r="A90" s="312">
        <f t="shared" ref="A90:A94" si="33">A65</f>
        <v>0</v>
      </c>
      <c r="B90" s="312">
        <f>H32*$B$72</f>
        <v>0</v>
      </c>
      <c r="C90" s="312">
        <f t="shared" ref="C90:H90" si="34">(B90/B$72)*C$72</f>
        <v>0</v>
      </c>
      <c r="D90" s="312">
        <f t="shared" si="34"/>
        <v>0</v>
      </c>
      <c r="E90" s="312">
        <f t="shared" si="34"/>
        <v>0</v>
      </c>
      <c r="F90" s="312">
        <f t="shared" si="34"/>
        <v>0</v>
      </c>
      <c r="G90" s="312">
        <f t="shared" si="34"/>
        <v>0</v>
      </c>
      <c r="H90" s="312">
        <f t="shared" si="34"/>
        <v>0</v>
      </c>
    </row>
    <row r="91" spans="1:9" ht="14.45" hidden="1" x14ac:dyDescent="0.35">
      <c r="A91" s="312" t="str">
        <f t="shared" si="33"/>
        <v>Groundnut</v>
      </c>
      <c r="B91" s="312">
        <v>0</v>
      </c>
      <c r="C91" s="312">
        <f t="shared" ref="C91:H91" si="35">(B91/B$72)*C$72</f>
        <v>0</v>
      </c>
      <c r="D91" s="312">
        <f t="shared" si="35"/>
        <v>0</v>
      </c>
      <c r="E91" s="312">
        <f t="shared" si="35"/>
        <v>0</v>
      </c>
      <c r="F91" s="312">
        <f t="shared" si="35"/>
        <v>0</v>
      </c>
      <c r="G91" s="312">
        <f t="shared" si="35"/>
        <v>0</v>
      </c>
      <c r="H91" s="312">
        <f t="shared" si="35"/>
        <v>0</v>
      </c>
    </row>
    <row r="92" spans="1:9" ht="14.45" x14ac:dyDescent="0.35">
      <c r="A92" s="312" t="str">
        <f t="shared" si="33"/>
        <v>RAGI</v>
      </c>
      <c r="B92" s="385">
        <f>H35*$B$72</f>
        <v>385.14009600000009</v>
      </c>
      <c r="C92" s="385">
        <f t="shared" ref="C92:H92" si="36">(B92/B$72)*C$72</f>
        <v>410.81610240000009</v>
      </c>
      <c r="D92" s="385">
        <f t="shared" si="36"/>
        <v>436.49210880000015</v>
      </c>
      <c r="E92" s="385">
        <f t="shared" si="36"/>
        <v>462.16811520000016</v>
      </c>
      <c r="F92" s="385">
        <f t="shared" si="36"/>
        <v>487.84412160000016</v>
      </c>
      <c r="G92" s="385">
        <f t="shared" si="36"/>
        <v>513.52012800000023</v>
      </c>
      <c r="H92" s="385">
        <f t="shared" si="36"/>
        <v>539.19613440000023</v>
      </c>
    </row>
    <row r="93" spans="1:9" ht="14.45" hidden="1" x14ac:dyDescent="0.35">
      <c r="A93" s="312">
        <f t="shared" si="33"/>
        <v>0</v>
      </c>
      <c r="B93" s="312">
        <f>H36*$B$72</f>
        <v>0</v>
      </c>
      <c r="C93" s="312">
        <f t="shared" ref="C93:H93" si="37">(B93/B$72)*C$72</f>
        <v>0</v>
      </c>
      <c r="D93" s="312">
        <f t="shared" si="37"/>
        <v>0</v>
      </c>
      <c r="E93" s="312">
        <f t="shared" si="37"/>
        <v>0</v>
      </c>
      <c r="F93" s="312">
        <f t="shared" si="37"/>
        <v>0</v>
      </c>
      <c r="G93" s="312">
        <f t="shared" si="37"/>
        <v>0</v>
      </c>
      <c r="H93" s="312">
        <f t="shared" si="37"/>
        <v>0</v>
      </c>
    </row>
    <row r="94" spans="1:9" ht="14.45" hidden="1" x14ac:dyDescent="0.35">
      <c r="A94" s="312">
        <f t="shared" si="33"/>
        <v>0</v>
      </c>
      <c r="B94" s="312">
        <f>H37*$B$72</f>
        <v>0</v>
      </c>
      <c r="C94" s="312">
        <f t="shared" ref="C94:H94" si="38">(B94/B$72)*C$72</f>
        <v>0</v>
      </c>
      <c r="D94" s="312">
        <f t="shared" si="38"/>
        <v>0</v>
      </c>
      <c r="E94" s="312">
        <f t="shared" si="38"/>
        <v>0</v>
      </c>
      <c r="F94" s="312">
        <f t="shared" si="38"/>
        <v>0</v>
      </c>
      <c r="G94" s="312">
        <f t="shared" si="38"/>
        <v>0</v>
      </c>
      <c r="H94" s="312">
        <f t="shared" si="38"/>
        <v>0</v>
      </c>
    </row>
    <row r="95" spans="1:9" ht="14.45" x14ac:dyDescent="0.35">
      <c r="B95" s="335"/>
      <c r="C95" s="335"/>
      <c r="D95" s="335"/>
      <c r="E95" s="335"/>
      <c r="F95" s="335"/>
      <c r="G95" s="335"/>
      <c r="H95" s="335"/>
      <c r="I95" s="335"/>
    </row>
    <row r="96" spans="1:9" ht="14.45" x14ac:dyDescent="0.35">
      <c r="A96" s="614" t="s">
        <v>558</v>
      </c>
      <c r="B96" s="615"/>
      <c r="C96" s="615"/>
      <c r="D96" s="615"/>
      <c r="E96" s="615"/>
      <c r="F96" s="615"/>
      <c r="G96" s="615"/>
      <c r="H96" s="616"/>
    </row>
    <row r="97" spans="1:8" x14ac:dyDescent="0.25">
      <c r="A97" s="603" t="s">
        <v>0</v>
      </c>
      <c r="B97" s="428">
        <v>0.65</v>
      </c>
      <c r="C97" s="428">
        <f>B97+0.05</f>
        <v>0.70000000000000007</v>
      </c>
      <c r="D97" s="428">
        <f t="shared" ref="D97:G97" si="39">C97+0.05</f>
        <v>0.75000000000000011</v>
      </c>
      <c r="E97" s="428">
        <f t="shared" si="39"/>
        <v>0.80000000000000016</v>
      </c>
      <c r="F97" s="428">
        <f t="shared" si="39"/>
        <v>0.8500000000000002</v>
      </c>
      <c r="G97" s="428">
        <f t="shared" si="39"/>
        <v>0.90000000000000024</v>
      </c>
      <c r="H97" s="428">
        <f>G97+0.05</f>
        <v>0.95000000000000029</v>
      </c>
    </row>
    <row r="98" spans="1:8" x14ac:dyDescent="0.25">
      <c r="A98" s="604"/>
      <c r="B98" s="274" t="s">
        <v>2</v>
      </c>
      <c r="C98" s="274" t="s">
        <v>3</v>
      </c>
      <c r="D98" s="274" t="s">
        <v>4</v>
      </c>
      <c r="E98" s="274" t="s">
        <v>5</v>
      </c>
      <c r="F98" s="274" t="s">
        <v>6</v>
      </c>
      <c r="G98" s="274" t="s">
        <v>165</v>
      </c>
      <c r="H98" s="274" t="s">
        <v>164</v>
      </c>
    </row>
    <row r="99" spans="1:8" s="427" customFormat="1" ht="14.45" hidden="1" x14ac:dyDescent="0.35">
      <c r="A99" s="312" t="str">
        <f t="shared" ref="A99:A114" si="40">A74</f>
        <v>Soybean</v>
      </c>
      <c r="B99" s="312">
        <f>D14*$B$97*0</f>
        <v>0</v>
      </c>
      <c r="C99" s="429">
        <f t="shared" ref="C99:H99" si="41">(B99/B$97)*C$97</f>
        <v>0</v>
      </c>
      <c r="D99" s="429">
        <f t="shared" si="41"/>
        <v>0</v>
      </c>
      <c r="E99" s="429">
        <f t="shared" si="41"/>
        <v>0</v>
      </c>
      <c r="F99" s="429">
        <f t="shared" si="41"/>
        <v>0</v>
      </c>
      <c r="G99" s="429">
        <f t="shared" si="41"/>
        <v>0</v>
      </c>
      <c r="H99" s="429">
        <f t="shared" si="41"/>
        <v>0</v>
      </c>
    </row>
    <row r="100" spans="1:8" ht="14.45" hidden="1" x14ac:dyDescent="0.35">
      <c r="A100" s="312" t="str">
        <f t="shared" si="40"/>
        <v>Red Gram/Tur</v>
      </c>
      <c r="B100" s="312">
        <f t="shared" ref="B100:B118" si="42">D15*$B$97*0</f>
        <v>0</v>
      </c>
      <c r="C100" s="429">
        <f t="shared" ref="C100:C120" si="43">(B100/B$97)*C$97</f>
        <v>0</v>
      </c>
      <c r="D100" s="429">
        <f>(C100/C97)*D97</f>
        <v>0</v>
      </c>
      <c r="E100" s="429">
        <f t="shared" ref="E100:G100" si="44">(D100/D97)*E97</f>
        <v>0</v>
      </c>
      <c r="F100" s="429">
        <f t="shared" si="44"/>
        <v>0</v>
      </c>
      <c r="G100" s="429">
        <f t="shared" si="44"/>
        <v>0</v>
      </c>
      <c r="H100" s="429">
        <f>(G100/G97)*H97</f>
        <v>0</v>
      </c>
    </row>
    <row r="101" spans="1:8" ht="14.45" hidden="1" x14ac:dyDescent="0.35">
      <c r="A101" s="312" t="str">
        <f t="shared" si="40"/>
        <v>Paddy/Rice</v>
      </c>
      <c r="B101" s="312">
        <f t="shared" si="42"/>
        <v>0</v>
      </c>
      <c r="C101" s="429">
        <f t="shared" si="43"/>
        <v>0</v>
      </c>
      <c r="D101" s="429">
        <f t="shared" ref="D101:H110" si="45">(C101/C$97)*D$97</f>
        <v>0</v>
      </c>
      <c r="E101" s="429">
        <f t="shared" si="45"/>
        <v>0</v>
      </c>
      <c r="F101" s="429">
        <f t="shared" si="45"/>
        <v>0</v>
      </c>
      <c r="G101" s="429">
        <f t="shared" si="45"/>
        <v>0</v>
      </c>
      <c r="H101" s="429">
        <f t="shared" si="45"/>
        <v>0</v>
      </c>
    </row>
    <row r="102" spans="1:8" ht="14.45" hidden="1" x14ac:dyDescent="0.35">
      <c r="A102" s="312" t="str">
        <f t="shared" si="40"/>
        <v>Masoor/ Moong</v>
      </c>
      <c r="B102" s="312">
        <f t="shared" si="42"/>
        <v>0</v>
      </c>
      <c r="C102" s="429">
        <f t="shared" si="43"/>
        <v>0</v>
      </c>
      <c r="D102" s="429">
        <f t="shared" si="45"/>
        <v>0</v>
      </c>
      <c r="E102" s="429">
        <f t="shared" si="45"/>
        <v>0</v>
      </c>
      <c r="F102" s="429">
        <f t="shared" si="45"/>
        <v>0</v>
      </c>
      <c r="G102" s="429">
        <f t="shared" si="45"/>
        <v>0</v>
      </c>
      <c r="H102" s="429">
        <f t="shared" si="45"/>
        <v>0</v>
      </c>
    </row>
    <row r="103" spans="1:8" ht="14.45" hidden="1" x14ac:dyDescent="0.35">
      <c r="A103" s="312" t="str">
        <f t="shared" si="40"/>
        <v>Sweet Potato</v>
      </c>
      <c r="B103" s="312">
        <f t="shared" si="42"/>
        <v>0</v>
      </c>
      <c r="C103" s="429">
        <f t="shared" si="43"/>
        <v>0</v>
      </c>
      <c r="D103" s="429">
        <f t="shared" si="45"/>
        <v>0</v>
      </c>
      <c r="E103" s="429">
        <f t="shared" si="45"/>
        <v>0</v>
      </c>
      <c r="F103" s="429">
        <f t="shared" si="45"/>
        <v>0</v>
      </c>
      <c r="G103" s="429">
        <f t="shared" si="45"/>
        <v>0</v>
      </c>
      <c r="H103" s="429">
        <f t="shared" si="45"/>
        <v>0</v>
      </c>
    </row>
    <row r="104" spans="1:8" ht="14.45" hidden="1" x14ac:dyDescent="0.35">
      <c r="A104" s="312" t="str">
        <f t="shared" si="40"/>
        <v>Black Gram/Udid</v>
      </c>
      <c r="B104" s="312">
        <f t="shared" si="42"/>
        <v>0</v>
      </c>
      <c r="C104" s="429">
        <f t="shared" si="43"/>
        <v>0</v>
      </c>
      <c r="D104" s="429">
        <f t="shared" si="45"/>
        <v>0</v>
      </c>
      <c r="E104" s="429">
        <f t="shared" si="45"/>
        <v>0</v>
      </c>
      <c r="F104" s="429">
        <f t="shared" si="45"/>
        <v>0</v>
      </c>
      <c r="G104" s="429">
        <f t="shared" si="45"/>
        <v>0</v>
      </c>
      <c r="H104" s="429">
        <f t="shared" si="45"/>
        <v>0</v>
      </c>
    </row>
    <row r="105" spans="1:8" ht="14.45" hidden="1" x14ac:dyDescent="0.35">
      <c r="A105" s="312" t="str">
        <f t="shared" si="40"/>
        <v>RAGI</v>
      </c>
      <c r="B105" s="312">
        <f t="shared" si="42"/>
        <v>0</v>
      </c>
      <c r="C105" s="429">
        <f t="shared" si="43"/>
        <v>0</v>
      </c>
      <c r="D105" s="429">
        <f t="shared" si="45"/>
        <v>0</v>
      </c>
      <c r="E105" s="429">
        <f t="shared" si="45"/>
        <v>0</v>
      </c>
      <c r="F105" s="429">
        <f t="shared" si="45"/>
        <v>0</v>
      </c>
      <c r="G105" s="429">
        <f t="shared" si="45"/>
        <v>0</v>
      </c>
      <c r="H105" s="429">
        <f t="shared" si="45"/>
        <v>0</v>
      </c>
    </row>
    <row r="106" spans="1:8" ht="14.45" hidden="1" x14ac:dyDescent="0.35">
      <c r="A106" s="312" t="str">
        <f t="shared" si="40"/>
        <v>Jawar</v>
      </c>
      <c r="B106" s="312">
        <f t="shared" si="42"/>
        <v>0</v>
      </c>
      <c r="C106" s="429">
        <f t="shared" si="43"/>
        <v>0</v>
      </c>
      <c r="D106" s="429">
        <f t="shared" si="45"/>
        <v>0</v>
      </c>
      <c r="E106" s="429">
        <f t="shared" si="45"/>
        <v>0</v>
      </c>
      <c r="F106" s="429">
        <f t="shared" si="45"/>
        <v>0</v>
      </c>
      <c r="G106" s="429">
        <f t="shared" si="45"/>
        <v>0</v>
      </c>
      <c r="H106" s="429">
        <f t="shared" si="45"/>
        <v>0</v>
      </c>
    </row>
    <row r="107" spans="1:8" ht="14.45" hidden="1" x14ac:dyDescent="0.35">
      <c r="A107" s="312" t="str">
        <f t="shared" si="40"/>
        <v>Sunflower</v>
      </c>
      <c r="B107" s="312">
        <f t="shared" si="42"/>
        <v>0</v>
      </c>
      <c r="C107" s="429">
        <f t="shared" si="43"/>
        <v>0</v>
      </c>
      <c r="D107" s="429">
        <f t="shared" si="45"/>
        <v>0</v>
      </c>
      <c r="E107" s="429">
        <f t="shared" si="45"/>
        <v>0</v>
      </c>
      <c r="F107" s="429">
        <f t="shared" si="45"/>
        <v>0</v>
      </c>
      <c r="G107" s="429">
        <f t="shared" si="45"/>
        <v>0</v>
      </c>
      <c r="H107" s="429">
        <f t="shared" si="45"/>
        <v>0</v>
      </c>
    </row>
    <row r="108" spans="1:8" ht="14.45" hidden="1" x14ac:dyDescent="0.35">
      <c r="A108" s="312" t="str">
        <f t="shared" si="40"/>
        <v>Wheat</v>
      </c>
      <c r="B108" s="312">
        <f t="shared" si="42"/>
        <v>0</v>
      </c>
      <c r="C108" s="429">
        <f t="shared" si="43"/>
        <v>0</v>
      </c>
      <c r="D108" s="429">
        <f t="shared" si="45"/>
        <v>0</v>
      </c>
      <c r="E108" s="429">
        <f t="shared" si="45"/>
        <v>0</v>
      </c>
      <c r="F108" s="429">
        <f t="shared" si="45"/>
        <v>0</v>
      </c>
      <c r="G108" s="429">
        <f t="shared" si="45"/>
        <v>0</v>
      </c>
      <c r="H108" s="429">
        <f t="shared" si="45"/>
        <v>0</v>
      </c>
    </row>
    <row r="109" spans="1:8" ht="14.45" hidden="1" x14ac:dyDescent="0.35">
      <c r="A109" s="312" t="str">
        <f t="shared" si="40"/>
        <v>Bengal Gram/Channa</v>
      </c>
      <c r="B109" s="312">
        <f t="shared" si="42"/>
        <v>0</v>
      </c>
      <c r="C109" s="429">
        <f t="shared" si="43"/>
        <v>0</v>
      </c>
      <c r="D109" s="429">
        <f t="shared" si="45"/>
        <v>0</v>
      </c>
      <c r="E109" s="429">
        <f t="shared" si="45"/>
        <v>0</v>
      </c>
      <c r="F109" s="429">
        <f t="shared" si="45"/>
        <v>0</v>
      </c>
      <c r="G109" s="429">
        <f t="shared" si="45"/>
        <v>0</v>
      </c>
      <c r="H109" s="429">
        <f t="shared" si="45"/>
        <v>0</v>
      </c>
    </row>
    <row r="110" spans="1:8" ht="14.45" hidden="1" x14ac:dyDescent="0.35">
      <c r="A110" s="312" t="str">
        <f t="shared" si="40"/>
        <v>Jawar</v>
      </c>
      <c r="B110" s="312">
        <f t="shared" si="42"/>
        <v>0</v>
      </c>
      <c r="C110" s="429">
        <f t="shared" si="43"/>
        <v>0</v>
      </c>
      <c r="D110" s="429">
        <f t="shared" si="45"/>
        <v>0</v>
      </c>
      <c r="E110" s="429">
        <f t="shared" si="45"/>
        <v>0</v>
      </c>
      <c r="F110" s="429">
        <f t="shared" si="45"/>
        <v>0</v>
      </c>
      <c r="G110" s="429">
        <f t="shared" si="45"/>
        <v>0</v>
      </c>
      <c r="H110" s="429">
        <f t="shared" si="45"/>
        <v>0</v>
      </c>
    </row>
    <row r="111" spans="1:8" ht="14.45" hidden="1" x14ac:dyDescent="0.35">
      <c r="A111" s="312" t="str">
        <f t="shared" si="40"/>
        <v>Sweet Potato</v>
      </c>
      <c r="B111" s="312">
        <f t="shared" si="42"/>
        <v>0</v>
      </c>
      <c r="C111" s="429">
        <f t="shared" si="43"/>
        <v>0</v>
      </c>
      <c r="D111" s="429">
        <f t="shared" ref="D111:H120" si="46">(C111/C$97)*D$97</f>
        <v>0</v>
      </c>
      <c r="E111" s="429">
        <f t="shared" si="46"/>
        <v>0</v>
      </c>
      <c r="F111" s="429">
        <f t="shared" si="46"/>
        <v>0</v>
      </c>
      <c r="G111" s="429">
        <f t="shared" si="46"/>
        <v>0</v>
      </c>
      <c r="H111" s="429">
        <f t="shared" si="46"/>
        <v>0</v>
      </c>
    </row>
    <row r="112" spans="1:8" ht="14.45" hidden="1" x14ac:dyDescent="0.35">
      <c r="A112" s="312" t="str">
        <f t="shared" si="40"/>
        <v>Safflower</v>
      </c>
      <c r="B112" s="312">
        <f t="shared" si="42"/>
        <v>0</v>
      </c>
      <c r="C112" s="429">
        <f t="shared" si="43"/>
        <v>0</v>
      </c>
      <c r="D112" s="429">
        <f t="shared" si="46"/>
        <v>0</v>
      </c>
      <c r="E112" s="429">
        <f t="shared" si="46"/>
        <v>0</v>
      </c>
      <c r="F112" s="429">
        <f t="shared" si="46"/>
        <v>0</v>
      </c>
      <c r="G112" s="429">
        <f t="shared" si="46"/>
        <v>0</v>
      </c>
      <c r="H112" s="429">
        <f t="shared" si="46"/>
        <v>0</v>
      </c>
    </row>
    <row r="113" spans="1:9" ht="14.45" hidden="1" x14ac:dyDescent="0.35">
      <c r="A113" s="312">
        <f t="shared" si="40"/>
        <v>0</v>
      </c>
      <c r="B113" s="312">
        <f t="shared" si="42"/>
        <v>0</v>
      </c>
      <c r="C113" s="429">
        <f t="shared" si="43"/>
        <v>0</v>
      </c>
      <c r="D113" s="429">
        <f t="shared" si="46"/>
        <v>0</v>
      </c>
      <c r="E113" s="429">
        <f t="shared" si="46"/>
        <v>0</v>
      </c>
      <c r="F113" s="429">
        <f t="shared" si="46"/>
        <v>0</v>
      </c>
      <c r="G113" s="429">
        <f t="shared" si="46"/>
        <v>0</v>
      </c>
      <c r="H113" s="429">
        <f t="shared" si="46"/>
        <v>0</v>
      </c>
    </row>
    <row r="114" spans="1:9" ht="14.45" hidden="1" x14ac:dyDescent="0.35">
      <c r="A114" s="312">
        <f t="shared" si="40"/>
        <v>0</v>
      </c>
      <c r="B114" s="312">
        <f t="shared" si="42"/>
        <v>0</v>
      </c>
      <c r="C114" s="429">
        <f t="shared" si="43"/>
        <v>0</v>
      </c>
      <c r="D114" s="429">
        <f t="shared" si="46"/>
        <v>0</v>
      </c>
      <c r="E114" s="429">
        <f t="shared" si="46"/>
        <v>0</v>
      </c>
      <c r="F114" s="429">
        <f t="shared" si="46"/>
        <v>0</v>
      </c>
      <c r="G114" s="429">
        <f t="shared" si="46"/>
        <v>0</v>
      </c>
      <c r="H114" s="429">
        <f t="shared" si="46"/>
        <v>0</v>
      </c>
    </row>
    <row r="115" spans="1:9" ht="14.45" hidden="1" x14ac:dyDescent="0.35">
      <c r="A115" s="312">
        <f>A90</f>
        <v>0</v>
      </c>
      <c r="B115" s="312">
        <f t="shared" si="42"/>
        <v>0</v>
      </c>
      <c r="C115" s="429">
        <f t="shared" si="43"/>
        <v>0</v>
      </c>
      <c r="D115" s="429">
        <f t="shared" si="46"/>
        <v>0</v>
      </c>
      <c r="E115" s="429">
        <f t="shared" si="46"/>
        <v>0</v>
      </c>
      <c r="F115" s="429">
        <f t="shared" si="46"/>
        <v>0</v>
      </c>
      <c r="G115" s="429">
        <f t="shared" si="46"/>
        <v>0</v>
      </c>
      <c r="H115" s="429">
        <f t="shared" si="46"/>
        <v>0</v>
      </c>
    </row>
    <row r="116" spans="1:9" ht="14.45" hidden="1" x14ac:dyDescent="0.35">
      <c r="A116" s="312" t="str">
        <f>A91</f>
        <v>Groundnut</v>
      </c>
      <c r="B116" s="312">
        <f t="shared" si="42"/>
        <v>0</v>
      </c>
      <c r="C116" s="429">
        <f t="shared" si="43"/>
        <v>0</v>
      </c>
      <c r="D116" s="429">
        <f t="shared" si="46"/>
        <v>0</v>
      </c>
      <c r="E116" s="429">
        <f t="shared" si="46"/>
        <v>0</v>
      </c>
      <c r="F116" s="429">
        <f t="shared" si="46"/>
        <v>0</v>
      </c>
      <c r="G116" s="429">
        <f t="shared" si="46"/>
        <v>0</v>
      </c>
      <c r="H116" s="429">
        <f t="shared" si="46"/>
        <v>0</v>
      </c>
    </row>
    <row r="117" spans="1:9" ht="14.45" hidden="1" x14ac:dyDescent="0.35">
      <c r="A117" s="312" t="str">
        <f>A92</f>
        <v>RAGI</v>
      </c>
      <c r="B117" s="312">
        <f t="shared" si="42"/>
        <v>0</v>
      </c>
      <c r="C117" s="429">
        <f t="shared" si="43"/>
        <v>0</v>
      </c>
      <c r="D117" s="429">
        <f t="shared" si="46"/>
        <v>0</v>
      </c>
      <c r="E117" s="429">
        <f t="shared" si="46"/>
        <v>0</v>
      </c>
      <c r="F117" s="429">
        <f t="shared" si="46"/>
        <v>0</v>
      </c>
      <c r="G117" s="429">
        <f t="shared" si="46"/>
        <v>0</v>
      </c>
      <c r="H117" s="429">
        <f t="shared" si="46"/>
        <v>0</v>
      </c>
    </row>
    <row r="118" spans="1:9" ht="14.45" hidden="1" x14ac:dyDescent="0.35">
      <c r="A118" s="312">
        <f>A93</f>
        <v>0</v>
      </c>
      <c r="B118" s="312">
        <f t="shared" si="42"/>
        <v>0</v>
      </c>
      <c r="C118" s="429">
        <f t="shared" si="43"/>
        <v>0</v>
      </c>
      <c r="D118" s="429">
        <f t="shared" si="46"/>
        <v>0</v>
      </c>
      <c r="E118" s="429">
        <f t="shared" si="46"/>
        <v>0</v>
      </c>
      <c r="F118" s="429">
        <f t="shared" si="46"/>
        <v>0</v>
      </c>
      <c r="G118" s="429">
        <f t="shared" si="46"/>
        <v>0</v>
      </c>
      <c r="H118" s="429">
        <f t="shared" si="46"/>
        <v>0</v>
      </c>
    </row>
    <row r="119" spans="1:9" ht="14.45" hidden="1" x14ac:dyDescent="0.35">
      <c r="A119" s="312">
        <f>A94</f>
        <v>0</v>
      </c>
      <c r="B119" s="312">
        <f>D37*$B$97</f>
        <v>0</v>
      </c>
      <c r="C119" s="429">
        <f t="shared" si="43"/>
        <v>0</v>
      </c>
      <c r="D119" s="429">
        <f t="shared" si="46"/>
        <v>0</v>
      </c>
      <c r="E119" s="429">
        <f t="shared" si="46"/>
        <v>0</v>
      </c>
      <c r="F119" s="429">
        <f t="shared" si="46"/>
        <v>0</v>
      </c>
      <c r="G119" s="429">
        <f t="shared" si="46"/>
        <v>0</v>
      </c>
      <c r="H119" s="429">
        <f t="shared" si="46"/>
        <v>0</v>
      </c>
    </row>
    <row r="120" spans="1:9" ht="14.45" hidden="1" x14ac:dyDescent="0.35">
      <c r="A120" s="312"/>
      <c r="B120" s="312">
        <f>D38*$B$97</f>
        <v>0</v>
      </c>
      <c r="C120" s="429">
        <f t="shared" si="43"/>
        <v>0</v>
      </c>
      <c r="D120" s="429">
        <f t="shared" si="46"/>
        <v>0</v>
      </c>
      <c r="E120" s="429">
        <f t="shared" si="46"/>
        <v>0</v>
      </c>
      <c r="F120" s="429">
        <f t="shared" si="46"/>
        <v>0</v>
      </c>
      <c r="G120" s="429">
        <f t="shared" si="46"/>
        <v>0</v>
      </c>
      <c r="H120" s="429">
        <f t="shared" si="46"/>
        <v>0</v>
      </c>
    </row>
    <row r="122" spans="1:9" ht="14.45" x14ac:dyDescent="0.35">
      <c r="C122" s="346"/>
      <c r="D122" s="344"/>
      <c r="E122" s="344"/>
      <c r="F122" s="344"/>
      <c r="G122" s="344"/>
      <c r="H122" s="344"/>
      <c r="I122" s="344"/>
    </row>
    <row r="123" spans="1:9" ht="14.45" x14ac:dyDescent="0.35">
      <c r="A123" s="192" t="s">
        <v>527</v>
      </c>
      <c r="C123" s="405"/>
      <c r="D123" s="405"/>
      <c r="E123" s="405"/>
      <c r="F123" s="405"/>
      <c r="G123" s="405"/>
      <c r="H123" s="405"/>
      <c r="I123" s="405"/>
    </row>
    <row r="124" spans="1:9" ht="14.45" x14ac:dyDescent="0.35">
      <c r="A124" s="192">
        <v>1</v>
      </c>
      <c r="B124" s="192" t="s">
        <v>579</v>
      </c>
    </row>
    <row r="125" spans="1:9" ht="14.45" x14ac:dyDescent="0.35">
      <c r="A125" s="192">
        <v>2</v>
      </c>
      <c r="B125" s="192" t="s">
        <v>580</v>
      </c>
    </row>
    <row r="126" spans="1:9" ht="14.45" x14ac:dyDescent="0.35">
      <c r="A126" s="192">
        <v>3</v>
      </c>
      <c r="B126" s="192" t="s">
        <v>530</v>
      </c>
    </row>
  </sheetData>
  <mergeCells count="13">
    <mergeCell ref="J47:J48"/>
    <mergeCell ref="A1:H1"/>
    <mergeCell ref="A3:B3"/>
    <mergeCell ref="A97:A98"/>
    <mergeCell ref="A11:H11"/>
    <mergeCell ref="A38:H38"/>
    <mergeCell ref="A14:A22"/>
    <mergeCell ref="A46:H46"/>
    <mergeCell ref="A47:A48"/>
    <mergeCell ref="A71:H71"/>
    <mergeCell ref="A72:A73"/>
    <mergeCell ref="A96:H96"/>
    <mergeCell ref="A25:A32"/>
  </mergeCells>
  <pageMargins left="0.15748031496062992" right="0.15748031496062992" top="0.18" bottom="0.23" header="0.14000000000000001" footer="0.16"/>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Normal="100" zoomScaleSheetLayoutView="100" workbookViewId="0">
      <selection activeCell="B5" sqref="B5"/>
    </sheetView>
  </sheetViews>
  <sheetFormatPr defaultColWidth="8.7109375" defaultRowHeight="15" x14ac:dyDescent="0.25"/>
  <cols>
    <col min="1" max="1" width="44.28515625" style="1" bestFit="1" customWidth="1"/>
    <col min="2" max="2" width="23.28515625" style="1" bestFit="1" customWidth="1"/>
    <col min="3" max="3" width="11.5703125" style="1" customWidth="1"/>
    <col min="4" max="4" width="18.85546875" style="1" customWidth="1"/>
    <col min="5" max="5" width="15.140625" style="1" customWidth="1"/>
    <col min="6" max="7" width="15.85546875" style="1" customWidth="1"/>
    <col min="8" max="8" width="21.28515625" style="1" customWidth="1"/>
    <col min="9" max="9" width="11.42578125" style="1" bestFit="1" customWidth="1"/>
    <col min="10" max="10" width="9.140625" style="1" bestFit="1" customWidth="1"/>
    <col min="11" max="16384" width="8.7109375" style="1"/>
  </cols>
  <sheetData>
    <row r="1" spans="1:26" ht="14.45" x14ac:dyDescent="0.35">
      <c r="A1" s="625" t="s">
        <v>489</v>
      </c>
      <c r="B1" s="625"/>
      <c r="C1" s="625"/>
      <c r="D1" s="625"/>
      <c r="E1" s="625"/>
      <c r="F1" s="625"/>
      <c r="G1" s="625"/>
      <c r="H1" s="625"/>
    </row>
    <row r="2" spans="1:26" ht="14.45" x14ac:dyDescent="0.35">
      <c r="B2" s="8"/>
    </row>
    <row r="3" spans="1:26" ht="14.45" x14ac:dyDescent="0.35">
      <c r="A3" s="624" t="s">
        <v>559</v>
      </c>
      <c r="B3" s="624"/>
    </row>
    <row r="4" spans="1:26" ht="14.45" x14ac:dyDescent="0.35">
      <c r="A4" s="12" t="s">
        <v>0</v>
      </c>
      <c r="B4" s="13" t="s">
        <v>383</v>
      </c>
      <c r="C4" s="47"/>
      <c r="D4" s="47"/>
      <c r="E4" s="47"/>
      <c r="F4" s="47"/>
      <c r="G4" s="47"/>
      <c r="H4" s="47"/>
    </row>
    <row r="5" spans="1:26" ht="14.45" x14ac:dyDescent="0.35">
      <c r="A5" s="3" t="s">
        <v>482</v>
      </c>
      <c r="B5" s="31">
        <v>307</v>
      </c>
      <c r="C5" s="48"/>
      <c r="D5" s="49"/>
      <c r="E5" s="49"/>
      <c r="F5" s="49"/>
      <c r="G5" s="49"/>
      <c r="H5" s="49"/>
    </row>
    <row r="6" spans="1:26" ht="14.45" x14ac:dyDescent="0.35">
      <c r="A6" s="3" t="s">
        <v>483</v>
      </c>
      <c r="B6" s="31">
        <v>500</v>
      </c>
      <c r="C6" s="48"/>
      <c r="D6" s="49"/>
      <c r="E6" s="49"/>
      <c r="F6" s="49"/>
      <c r="G6" s="49"/>
      <c r="H6" s="49"/>
    </row>
    <row r="7" spans="1:26" ht="14.45" x14ac:dyDescent="0.35">
      <c r="A7" s="9" t="s">
        <v>1</v>
      </c>
      <c r="B7" s="38">
        <f>B5+B6</f>
        <v>807</v>
      </c>
      <c r="C7" s="50"/>
      <c r="D7" s="51"/>
      <c r="E7" s="51"/>
      <c r="F7" s="51"/>
      <c r="G7" s="51"/>
      <c r="H7" s="51"/>
    </row>
    <row r="8" spans="1:26" ht="14.45" x14ac:dyDescent="0.35">
      <c r="A8" s="9" t="s">
        <v>484</v>
      </c>
      <c r="B8" s="45">
        <v>0</v>
      </c>
      <c r="C8" s="50"/>
      <c r="D8" s="50"/>
      <c r="E8" s="50"/>
      <c r="F8" s="50"/>
      <c r="G8" s="50"/>
      <c r="H8" s="50"/>
    </row>
    <row r="9" spans="1:26" ht="14.45" x14ac:dyDescent="0.35">
      <c r="A9" s="9" t="s">
        <v>485</v>
      </c>
      <c r="B9" s="38">
        <f>B7*B8</f>
        <v>0</v>
      </c>
      <c r="C9" s="51"/>
      <c r="D9" s="51"/>
      <c r="E9" s="51"/>
      <c r="F9" s="51"/>
      <c r="G9" s="51"/>
      <c r="H9" s="51"/>
    </row>
    <row r="10" spans="1:26" ht="14.45" x14ac:dyDescent="0.35">
      <c r="J10" s="1" t="s">
        <v>445</v>
      </c>
      <c r="O10" s="1" t="s">
        <v>441</v>
      </c>
      <c r="U10" s="1" t="s">
        <v>442</v>
      </c>
      <c r="Y10" s="1" t="s">
        <v>443</v>
      </c>
      <c r="Z10" s="1" t="s">
        <v>444</v>
      </c>
    </row>
    <row r="11" spans="1:26" ht="14.45" x14ac:dyDescent="0.35">
      <c r="A11" s="625" t="s">
        <v>560</v>
      </c>
      <c r="B11" s="625"/>
      <c r="C11" s="625"/>
      <c r="D11" s="625"/>
      <c r="E11" s="625"/>
      <c r="F11" s="625"/>
      <c r="G11" s="625"/>
      <c r="H11" s="625"/>
      <c r="I11" s="52"/>
      <c r="J11" s="52"/>
      <c r="K11" s="52"/>
      <c r="L11" s="52"/>
      <c r="M11" s="52"/>
      <c r="N11" s="52"/>
      <c r="O11" s="52"/>
      <c r="P11" s="52"/>
    </row>
    <row r="12" spans="1:26" ht="14.45" x14ac:dyDescent="0.35">
      <c r="J12" s="53">
        <v>0.65</v>
      </c>
      <c r="K12" s="54">
        <f>J12+0.05</f>
        <v>0.70000000000000007</v>
      </c>
      <c r="L12" s="54">
        <f t="shared" ref="L12:N12" si="0">K12+0.05</f>
        <v>0.75000000000000011</v>
      </c>
      <c r="M12" s="54">
        <f t="shared" si="0"/>
        <v>0.80000000000000016</v>
      </c>
      <c r="N12" s="54">
        <f t="shared" si="0"/>
        <v>0.8500000000000002</v>
      </c>
      <c r="O12" s="53">
        <v>0.4</v>
      </c>
      <c r="P12" s="53">
        <f>O12+0.05</f>
        <v>0.45</v>
      </c>
      <c r="Q12" s="53">
        <f t="shared" ref="Q12:T12" si="1">P12+0.05</f>
        <v>0.5</v>
      </c>
      <c r="R12" s="53">
        <f t="shared" si="1"/>
        <v>0.55000000000000004</v>
      </c>
      <c r="S12" s="53">
        <f t="shared" si="1"/>
        <v>0.60000000000000009</v>
      </c>
      <c r="T12" s="53">
        <f t="shared" si="1"/>
        <v>0.65000000000000013</v>
      </c>
      <c r="U12" s="53">
        <v>0.1</v>
      </c>
      <c r="V12" s="7">
        <f>U12+0.05</f>
        <v>0.15000000000000002</v>
      </c>
      <c r="W12" s="7">
        <f t="shared" ref="W12:X12" si="2">V12+0.05</f>
        <v>0.2</v>
      </c>
      <c r="X12" s="7">
        <f t="shared" si="2"/>
        <v>0.25</v>
      </c>
    </row>
    <row r="13" spans="1:26" ht="43.5" x14ac:dyDescent="0.35">
      <c r="A13" s="12" t="s">
        <v>386</v>
      </c>
      <c r="B13" s="12" t="s">
        <v>387</v>
      </c>
      <c r="C13" s="44" t="s">
        <v>438</v>
      </c>
      <c r="D13" s="44" t="s">
        <v>446</v>
      </c>
      <c r="E13" s="44" t="s">
        <v>447</v>
      </c>
      <c r="F13" s="44" t="s">
        <v>388</v>
      </c>
      <c r="G13" s="44" t="s">
        <v>624</v>
      </c>
      <c r="H13" s="44" t="s">
        <v>389</v>
      </c>
      <c r="O13" s="55" t="s">
        <v>2</v>
      </c>
      <c r="P13" s="55" t="s">
        <v>3</v>
      </c>
      <c r="Q13" s="55" t="s">
        <v>4</v>
      </c>
      <c r="R13" s="55" t="s">
        <v>5</v>
      </c>
      <c r="S13" s="55" t="s">
        <v>6</v>
      </c>
      <c r="T13" s="55" t="s">
        <v>2</v>
      </c>
      <c r="U13" s="55" t="s">
        <v>3</v>
      </c>
      <c r="V13" s="55" t="s">
        <v>4</v>
      </c>
      <c r="W13" s="55" t="s">
        <v>5</v>
      </c>
      <c r="X13" s="55" t="s">
        <v>6</v>
      </c>
    </row>
    <row r="14" spans="1:26" x14ac:dyDescent="0.25">
      <c r="A14" s="626" t="s">
        <v>390</v>
      </c>
      <c r="B14" s="31" t="s">
        <v>474</v>
      </c>
      <c r="C14" s="56">
        <v>0.05</v>
      </c>
      <c r="D14" s="3">
        <f t="shared" ref="D14:D40" si="3">$B$9*C14</f>
        <v>0</v>
      </c>
      <c r="E14" s="15">
        <v>15</v>
      </c>
      <c r="F14" s="3">
        <f>D14*E14</f>
        <v>0</v>
      </c>
      <c r="G14" s="16">
        <v>0.1</v>
      </c>
      <c r="H14" s="3">
        <f>(F14-F14*G14)</f>
        <v>0</v>
      </c>
      <c r="J14" s="1">
        <f>$D$14*J12</f>
        <v>0</v>
      </c>
      <c r="K14" s="1">
        <f>$D$14*K12</f>
        <v>0</v>
      </c>
      <c r="L14" s="1">
        <f>$D$14*L12</f>
        <v>0</v>
      </c>
      <c r="M14" s="1">
        <f>$D$14*M12</f>
        <v>0</v>
      </c>
      <c r="N14" s="1">
        <f>$D$14*N12</f>
        <v>0</v>
      </c>
    </row>
    <row r="15" spans="1:26" x14ac:dyDescent="0.25">
      <c r="A15" s="627"/>
      <c r="B15" s="31" t="s">
        <v>475</v>
      </c>
      <c r="C15" s="56">
        <v>0.1</v>
      </c>
      <c r="D15" s="3">
        <f t="shared" si="3"/>
        <v>0</v>
      </c>
      <c r="E15" s="15">
        <v>7</v>
      </c>
      <c r="F15" s="3">
        <f t="shared" ref="F15:F40" si="4">D15*E15</f>
        <v>0</v>
      </c>
      <c r="G15" s="16">
        <v>0.05</v>
      </c>
      <c r="H15" s="3">
        <f>(F15-F15*G15)</f>
        <v>0</v>
      </c>
    </row>
    <row r="16" spans="1:26" x14ac:dyDescent="0.25">
      <c r="A16" s="627"/>
      <c r="B16" s="31" t="s">
        <v>476</v>
      </c>
      <c r="C16" s="56">
        <v>0</v>
      </c>
      <c r="D16" s="3">
        <f t="shared" si="3"/>
        <v>0</v>
      </c>
      <c r="E16" s="15">
        <v>4</v>
      </c>
      <c r="F16" s="3">
        <f t="shared" si="4"/>
        <v>0</v>
      </c>
      <c r="G16" s="16">
        <v>0</v>
      </c>
      <c r="H16" s="3">
        <f t="shared" ref="H16:H40" si="5">(F16-F16*G16)</f>
        <v>0</v>
      </c>
    </row>
    <row r="17" spans="1:8" x14ac:dyDescent="0.25">
      <c r="A17" s="627"/>
      <c r="B17" s="31" t="s">
        <v>477</v>
      </c>
      <c r="C17" s="56">
        <v>0.25</v>
      </c>
      <c r="D17" s="3">
        <f t="shared" si="3"/>
        <v>0</v>
      </c>
      <c r="E17" s="15">
        <v>7</v>
      </c>
      <c r="F17" s="3">
        <f t="shared" si="4"/>
        <v>0</v>
      </c>
      <c r="G17" s="16">
        <v>0.02</v>
      </c>
      <c r="H17" s="3">
        <f t="shared" si="5"/>
        <v>0</v>
      </c>
    </row>
    <row r="18" spans="1:8" x14ac:dyDescent="0.25">
      <c r="A18" s="627"/>
      <c r="B18" s="31" t="s">
        <v>478</v>
      </c>
      <c r="C18" s="56">
        <v>0.35</v>
      </c>
      <c r="D18" s="3">
        <f t="shared" si="3"/>
        <v>0</v>
      </c>
      <c r="E18" s="15">
        <v>20</v>
      </c>
      <c r="F18" s="3">
        <f t="shared" si="4"/>
        <v>0</v>
      </c>
      <c r="G18" s="16">
        <v>0</v>
      </c>
      <c r="H18" s="3">
        <f t="shared" si="5"/>
        <v>0</v>
      </c>
    </row>
    <row r="19" spans="1:8" x14ac:dyDescent="0.25">
      <c r="A19" s="627"/>
      <c r="B19" s="31" t="s">
        <v>690</v>
      </c>
      <c r="C19" s="56">
        <v>0.25</v>
      </c>
      <c r="D19" s="3">
        <f t="shared" si="3"/>
        <v>0</v>
      </c>
      <c r="E19" s="15">
        <v>7</v>
      </c>
      <c r="F19" s="3">
        <f t="shared" si="4"/>
        <v>0</v>
      </c>
      <c r="G19" s="16">
        <v>0.1</v>
      </c>
      <c r="H19" s="3">
        <f t="shared" si="5"/>
        <v>0</v>
      </c>
    </row>
    <row r="20" spans="1:8" x14ac:dyDescent="0.25">
      <c r="A20" s="627"/>
      <c r="B20" s="31"/>
      <c r="C20" s="56">
        <v>0</v>
      </c>
      <c r="D20" s="3">
        <f t="shared" si="3"/>
        <v>0</v>
      </c>
      <c r="E20" s="15">
        <v>6</v>
      </c>
      <c r="F20" s="3">
        <f t="shared" si="4"/>
        <v>0</v>
      </c>
      <c r="G20" s="16">
        <v>0.02</v>
      </c>
      <c r="H20" s="3">
        <f t="shared" si="5"/>
        <v>0</v>
      </c>
    </row>
    <row r="21" spans="1:8" x14ac:dyDescent="0.25">
      <c r="A21" s="627"/>
      <c r="B21" s="31"/>
      <c r="C21" s="56">
        <v>0</v>
      </c>
      <c r="D21" s="3">
        <f t="shared" si="3"/>
        <v>0</v>
      </c>
      <c r="E21" s="15"/>
      <c r="F21" s="3">
        <f t="shared" si="4"/>
        <v>0</v>
      </c>
      <c r="G21" s="16">
        <v>0</v>
      </c>
      <c r="H21" s="3">
        <f t="shared" si="5"/>
        <v>0</v>
      </c>
    </row>
    <row r="22" spans="1:8" x14ac:dyDescent="0.25">
      <c r="A22" s="628"/>
      <c r="B22" s="31"/>
      <c r="C22" s="56">
        <v>0</v>
      </c>
      <c r="D22" s="3">
        <f t="shared" si="3"/>
        <v>0</v>
      </c>
      <c r="E22" s="15"/>
      <c r="F22" s="3">
        <f t="shared" si="4"/>
        <v>0</v>
      </c>
      <c r="G22" s="16">
        <v>0</v>
      </c>
      <c r="H22" s="3">
        <f t="shared" si="5"/>
        <v>0</v>
      </c>
    </row>
    <row r="23" spans="1:8" ht="14.45" x14ac:dyDescent="0.35">
      <c r="A23" s="57" t="s">
        <v>490</v>
      </c>
      <c r="B23" s="58">
        <v>0.3</v>
      </c>
      <c r="C23" s="59">
        <f>B9*B23</f>
        <v>0</v>
      </c>
      <c r="D23" s="3"/>
      <c r="E23" s="15"/>
      <c r="F23" s="3"/>
      <c r="G23" s="16"/>
      <c r="H23" s="3"/>
    </row>
    <row r="24" spans="1:8" x14ac:dyDescent="0.25">
      <c r="A24" s="626" t="s">
        <v>391</v>
      </c>
      <c r="B24" s="31" t="s">
        <v>474</v>
      </c>
      <c r="C24" s="56">
        <v>0.05</v>
      </c>
      <c r="D24" s="3">
        <f>C$23*C24</f>
        <v>0</v>
      </c>
      <c r="E24" s="15">
        <v>10</v>
      </c>
      <c r="F24" s="3">
        <f t="shared" si="4"/>
        <v>0</v>
      </c>
      <c r="G24" s="16">
        <v>0.1</v>
      </c>
      <c r="H24" s="3">
        <f t="shared" si="5"/>
        <v>0</v>
      </c>
    </row>
    <row r="25" spans="1:8" x14ac:dyDescent="0.25">
      <c r="A25" s="627"/>
      <c r="B25" s="31" t="s">
        <v>475</v>
      </c>
      <c r="C25" s="56">
        <v>0.1</v>
      </c>
      <c r="D25" s="3">
        <f>C$23*C25</f>
        <v>0</v>
      </c>
      <c r="E25" s="15">
        <v>10</v>
      </c>
      <c r="F25" s="3">
        <f t="shared" si="4"/>
        <v>0</v>
      </c>
      <c r="G25" s="16">
        <v>0.1</v>
      </c>
      <c r="H25" s="3">
        <f t="shared" si="5"/>
        <v>0</v>
      </c>
    </row>
    <row r="26" spans="1:8" x14ac:dyDescent="0.25">
      <c r="A26" s="627"/>
      <c r="B26" s="31" t="s">
        <v>476</v>
      </c>
      <c r="C26" s="56">
        <v>0</v>
      </c>
      <c r="D26" s="3">
        <f>C$23*C26</f>
        <v>0</v>
      </c>
      <c r="E26" s="15">
        <v>10</v>
      </c>
      <c r="F26" s="3">
        <f t="shared" si="4"/>
        <v>0</v>
      </c>
      <c r="G26" s="16">
        <v>0.05</v>
      </c>
      <c r="H26" s="3">
        <f t="shared" si="5"/>
        <v>0</v>
      </c>
    </row>
    <row r="27" spans="1:8" x14ac:dyDescent="0.25">
      <c r="A27" s="627"/>
      <c r="B27" s="31" t="s">
        <v>477</v>
      </c>
      <c r="C27" s="56">
        <v>0.25</v>
      </c>
      <c r="D27" s="3">
        <f t="shared" ref="D27:D31" si="6">C$23*C27</f>
        <v>0</v>
      </c>
      <c r="E27" s="15">
        <v>20</v>
      </c>
      <c r="F27" s="3">
        <f t="shared" si="4"/>
        <v>0</v>
      </c>
      <c r="G27" s="16">
        <v>0</v>
      </c>
      <c r="H27" s="3">
        <f t="shared" si="5"/>
        <v>0</v>
      </c>
    </row>
    <row r="28" spans="1:8" x14ac:dyDescent="0.25">
      <c r="A28" s="627"/>
      <c r="B28" s="31" t="s">
        <v>478</v>
      </c>
      <c r="C28" s="56">
        <v>0.35</v>
      </c>
      <c r="D28" s="3">
        <f t="shared" si="6"/>
        <v>0</v>
      </c>
      <c r="E28" s="15">
        <v>20</v>
      </c>
      <c r="F28" s="3">
        <f t="shared" si="4"/>
        <v>0</v>
      </c>
      <c r="G28" s="16">
        <v>0</v>
      </c>
      <c r="H28" s="3">
        <f t="shared" si="5"/>
        <v>0</v>
      </c>
    </row>
    <row r="29" spans="1:8" x14ac:dyDescent="0.25">
      <c r="A29" s="627"/>
      <c r="B29" s="31" t="s">
        <v>690</v>
      </c>
      <c r="C29" s="56">
        <v>0.25</v>
      </c>
      <c r="D29" s="3">
        <f t="shared" si="6"/>
        <v>0</v>
      </c>
      <c r="E29" s="15">
        <v>6</v>
      </c>
      <c r="F29" s="3">
        <f t="shared" si="4"/>
        <v>0</v>
      </c>
      <c r="G29" s="16">
        <v>0</v>
      </c>
      <c r="H29" s="3">
        <f t="shared" si="5"/>
        <v>0</v>
      </c>
    </row>
    <row r="30" spans="1:8" x14ac:dyDescent="0.25">
      <c r="A30" s="627"/>
      <c r="B30" s="31"/>
      <c r="C30" s="56">
        <v>0</v>
      </c>
      <c r="D30" s="3">
        <f t="shared" si="6"/>
        <v>0</v>
      </c>
      <c r="E30" s="15"/>
      <c r="F30" s="3">
        <f t="shared" si="4"/>
        <v>0</v>
      </c>
      <c r="G30" s="16">
        <v>0</v>
      </c>
      <c r="H30" s="3">
        <f t="shared" si="5"/>
        <v>0</v>
      </c>
    </row>
    <row r="31" spans="1:8" x14ac:dyDescent="0.25">
      <c r="A31" s="628"/>
      <c r="B31" s="31"/>
      <c r="C31" s="56">
        <v>0</v>
      </c>
      <c r="D31" s="3">
        <f t="shared" si="6"/>
        <v>0</v>
      </c>
      <c r="E31" s="15"/>
      <c r="F31" s="3">
        <f t="shared" si="4"/>
        <v>0</v>
      </c>
      <c r="G31" s="16">
        <v>0</v>
      </c>
      <c r="H31" s="3">
        <f t="shared" si="5"/>
        <v>0</v>
      </c>
    </row>
    <row r="32" spans="1:8" x14ac:dyDescent="0.25">
      <c r="A32" s="57" t="s">
        <v>491</v>
      </c>
      <c r="B32" s="58">
        <v>0.05</v>
      </c>
      <c r="C32" s="31">
        <f>B9*B32</f>
        <v>0</v>
      </c>
      <c r="D32" s="3"/>
      <c r="E32" s="15"/>
      <c r="F32" s="3"/>
      <c r="G32" s="16"/>
      <c r="H32" s="3"/>
    </row>
    <row r="33" spans="1:8" x14ac:dyDescent="0.25">
      <c r="A33" s="60" t="s">
        <v>451</v>
      </c>
      <c r="B33" s="31"/>
      <c r="C33" s="56">
        <v>0</v>
      </c>
      <c r="D33" s="3">
        <f>C$32*C33</f>
        <v>0</v>
      </c>
      <c r="E33" s="15"/>
      <c r="F33" s="3">
        <f t="shared" si="4"/>
        <v>0</v>
      </c>
      <c r="G33" s="16">
        <v>0</v>
      </c>
      <c r="H33" s="3">
        <f t="shared" si="5"/>
        <v>0</v>
      </c>
    </row>
    <row r="34" spans="1:8" x14ac:dyDescent="0.25">
      <c r="A34" s="61"/>
      <c r="B34" s="31"/>
      <c r="C34" s="56">
        <v>0</v>
      </c>
      <c r="D34" s="3">
        <f>C$32*C34</f>
        <v>0</v>
      </c>
      <c r="E34" s="15"/>
      <c r="F34" s="3">
        <f t="shared" si="4"/>
        <v>0</v>
      </c>
      <c r="G34" s="16">
        <v>0</v>
      </c>
      <c r="H34" s="3">
        <f t="shared" si="5"/>
        <v>0</v>
      </c>
    </row>
    <row r="35" spans="1:8" x14ac:dyDescent="0.25">
      <c r="A35" s="61"/>
      <c r="B35" s="31"/>
      <c r="C35" s="56">
        <v>0</v>
      </c>
      <c r="D35" s="3">
        <f>C$32*C35</f>
        <v>0</v>
      </c>
      <c r="E35" s="15"/>
      <c r="F35" s="3">
        <f t="shared" si="4"/>
        <v>0</v>
      </c>
      <c r="G35" s="16">
        <v>0</v>
      </c>
      <c r="H35" s="3">
        <f t="shared" si="5"/>
        <v>0</v>
      </c>
    </row>
    <row r="36" spans="1:8" x14ac:dyDescent="0.25">
      <c r="A36" s="62"/>
      <c r="B36" s="31"/>
      <c r="C36" s="56">
        <v>0</v>
      </c>
      <c r="D36" s="3">
        <f>C$32*C36</f>
        <v>0</v>
      </c>
      <c r="E36" s="15"/>
      <c r="F36" s="3">
        <f t="shared" si="4"/>
        <v>0</v>
      </c>
      <c r="G36" s="16">
        <v>0</v>
      </c>
      <c r="H36" s="3">
        <f t="shared" si="5"/>
        <v>0</v>
      </c>
    </row>
    <row r="37" spans="1:8" x14ac:dyDescent="0.25">
      <c r="A37" s="629" t="s">
        <v>492</v>
      </c>
      <c r="B37" s="31" t="s">
        <v>479</v>
      </c>
      <c r="C37" s="56">
        <v>0</v>
      </c>
      <c r="D37" s="3">
        <f t="shared" si="3"/>
        <v>0</v>
      </c>
      <c r="E37" s="15">
        <v>6</v>
      </c>
      <c r="F37" s="3">
        <f t="shared" si="4"/>
        <v>0</v>
      </c>
      <c r="G37" s="16">
        <v>0.05</v>
      </c>
      <c r="H37" s="3">
        <f t="shared" si="5"/>
        <v>0</v>
      </c>
    </row>
    <row r="38" spans="1:8" x14ac:dyDescent="0.25">
      <c r="A38" s="629"/>
      <c r="B38" s="31" t="s">
        <v>480</v>
      </c>
      <c r="C38" s="56">
        <v>0</v>
      </c>
      <c r="D38" s="3">
        <f t="shared" si="3"/>
        <v>0</v>
      </c>
      <c r="E38" s="15"/>
      <c r="F38" s="3">
        <f t="shared" si="4"/>
        <v>0</v>
      </c>
      <c r="G38" s="16">
        <v>0</v>
      </c>
      <c r="H38" s="3">
        <f t="shared" si="5"/>
        <v>0</v>
      </c>
    </row>
    <row r="39" spans="1:8" x14ac:dyDescent="0.25">
      <c r="A39" s="629"/>
      <c r="B39" s="31" t="s">
        <v>481</v>
      </c>
      <c r="C39" s="56">
        <v>0</v>
      </c>
      <c r="D39" s="3">
        <f t="shared" si="3"/>
        <v>0</v>
      </c>
      <c r="E39" s="15"/>
      <c r="F39" s="3">
        <f t="shared" si="4"/>
        <v>0</v>
      </c>
      <c r="G39" s="16">
        <v>0</v>
      </c>
      <c r="H39" s="3">
        <f t="shared" si="5"/>
        <v>0</v>
      </c>
    </row>
    <row r="40" spans="1:8" x14ac:dyDescent="0.25">
      <c r="A40" s="629"/>
      <c r="B40" s="31" t="s">
        <v>689</v>
      </c>
      <c r="C40" s="56">
        <v>0.25</v>
      </c>
      <c r="D40" s="3">
        <f t="shared" si="3"/>
        <v>0</v>
      </c>
      <c r="E40" s="15">
        <v>13</v>
      </c>
      <c r="F40" s="3">
        <f t="shared" si="4"/>
        <v>0</v>
      </c>
      <c r="G40" s="16">
        <v>0</v>
      </c>
      <c r="H40" s="3">
        <f t="shared" si="5"/>
        <v>0</v>
      </c>
    </row>
    <row r="41" spans="1:8" x14ac:dyDescent="0.25">
      <c r="A41" s="630" t="s">
        <v>395</v>
      </c>
      <c r="B41" s="630"/>
      <c r="C41" s="630"/>
      <c r="D41" s="630"/>
      <c r="E41" s="630"/>
      <c r="F41" s="630"/>
      <c r="G41" s="630"/>
      <c r="H41" s="630"/>
    </row>
    <row r="43" spans="1:8" x14ac:dyDescent="0.25">
      <c r="A43" s="631" t="s">
        <v>561</v>
      </c>
      <c r="B43" s="632"/>
      <c r="C43" s="632"/>
      <c r="D43" s="632"/>
      <c r="E43" s="632"/>
      <c r="F43" s="632"/>
      <c r="G43" s="632"/>
      <c r="H43" s="633"/>
    </row>
    <row r="44" spans="1:8" x14ac:dyDescent="0.25">
      <c r="A44" s="634" t="s">
        <v>0</v>
      </c>
      <c r="B44" s="63">
        <v>0.35</v>
      </c>
      <c r="C44" s="63">
        <f>B44+0.05</f>
        <v>0.39999999999999997</v>
      </c>
      <c r="D44" s="63">
        <f t="shared" ref="D44:G44" si="7">C44+0.05</f>
        <v>0.44999999999999996</v>
      </c>
      <c r="E44" s="63">
        <f t="shared" si="7"/>
        <v>0.49999999999999994</v>
      </c>
      <c r="F44" s="63">
        <f t="shared" si="7"/>
        <v>0.54999999999999993</v>
      </c>
      <c r="G44" s="63">
        <f t="shared" si="7"/>
        <v>0.6</v>
      </c>
      <c r="H44" s="63">
        <f>G44+0.05</f>
        <v>0.65</v>
      </c>
    </row>
    <row r="45" spans="1:8" x14ac:dyDescent="0.25">
      <c r="A45" s="635"/>
      <c r="B45" s="13" t="s">
        <v>2</v>
      </c>
      <c r="C45" s="13" t="s">
        <v>3</v>
      </c>
      <c r="D45" s="13" t="s">
        <v>4</v>
      </c>
      <c r="E45" s="13" t="s">
        <v>5</v>
      </c>
      <c r="F45" s="13" t="s">
        <v>6</v>
      </c>
      <c r="G45" s="13" t="s">
        <v>165</v>
      </c>
      <c r="H45" s="13" t="s">
        <v>164</v>
      </c>
    </row>
    <row r="46" spans="1:8" x14ac:dyDescent="0.25">
      <c r="A46" s="3" t="str">
        <f t="shared" ref="A46:A54" si="8">B14</f>
        <v>Onion</v>
      </c>
      <c r="B46" s="3">
        <f t="shared" ref="B46:B54" si="9">H14*$B$44</f>
        <v>0</v>
      </c>
      <c r="C46" s="3">
        <f t="shared" ref="C46:H61" si="10">(B46/B$44)*C$44</f>
        <v>0</v>
      </c>
      <c r="D46" s="3">
        <f t="shared" si="10"/>
        <v>0</v>
      </c>
      <c r="E46" s="3">
        <f t="shared" si="10"/>
        <v>0</v>
      </c>
      <c r="F46" s="3">
        <f t="shared" si="10"/>
        <v>0</v>
      </c>
      <c r="G46" s="3">
        <f t="shared" si="10"/>
        <v>0</v>
      </c>
      <c r="H46" s="3">
        <f t="shared" si="10"/>
        <v>0</v>
      </c>
    </row>
    <row r="47" spans="1:8" x14ac:dyDescent="0.25">
      <c r="A47" s="3" t="str">
        <f t="shared" si="8"/>
        <v>Tomato</v>
      </c>
      <c r="B47" s="3">
        <f t="shared" si="9"/>
        <v>0</v>
      </c>
      <c r="C47" s="3">
        <f t="shared" si="10"/>
        <v>0</v>
      </c>
      <c r="D47" s="3">
        <f t="shared" si="10"/>
        <v>0</v>
      </c>
      <c r="E47" s="3">
        <f t="shared" si="10"/>
        <v>0</v>
      </c>
      <c r="F47" s="3">
        <f t="shared" si="10"/>
        <v>0</v>
      </c>
      <c r="G47" s="3">
        <f t="shared" si="10"/>
        <v>0</v>
      </c>
      <c r="H47" s="3">
        <f t="shared" si="10"/>
        <v>0</v>
      </c>
    </row>
    <row r="48" spans="1:8" x14ac:dyDescent="0.25">
      <c r="A48" s="3" t="str">
        <f t="shared" si="8"/>
        <v>Okra</v>
      </c>
      <c r="B48" s="3">
        <f t="shared" si="9"/>
        <v>0</v>
      </c>
      <c r="C48" s="3">
        <f t="shared" si="10"/>
        <v>0</v>
      </c>
      <c r="D48" s="3">
        <f t="shared" si="10"/>
        <v>0</v>
      </c>
      <c r="E48" s="3">
        <f t="shared" si="10"/>
        <v>0</v>
      </c>
      <c r="F48" s="3">
        <f t="shared" si="10"/>
        <v>0</v>
      </c>
      <c r="G48" s="3">
        <f t="shared" si="10"/>
        <v>0</v>
      </c>
      <c r="H48" s="3">
        <f t="shared" si="10"/>
        <v>0</v>
      </c>
    </row>
    <row r="49" spans="1:8" x14ac:dyDescent="0.25">
      <c r="A49" s="3" t="str">
        <f t="shared" si="8"/>
        <v>Chilli</v>
      </c>
      <c r="B49" s="3">
        <f t="shared" si="9"/>
        <v>0</v>
      </c>
      <c r="C49" s="3">
        <f t="shared" si="10"/>
        <v>0</v>
      </c>
      <c r="D49" s="3">
        <f t="shared" si="10"/>
        <v>0</v>
      </c>
      <c r="E49" s="3">
        <f t="shared" si="10"/>
        <v>0</v>
      </c>
      <c r="F49" s="3">
        <f t="shared" si="10"/>
        <v>0</v>
      </c>
      <c r="G49" s="3">
        <f t="shared" si="10"/>
        <v>0</v>
      </c>
      <c r="H49" s="3">
        <f t="shared" si="10"/>
        <v>0</v>
      </c>
    </row>
    <row r="50" spans="1:8" x14ac:dyDescent="0.25">
      <c r="A50" s="3" t="str">
        <f t="shared" si="8"/>
        <v>Potato</v>
      </c>
      <c r="B50" s="3">
        <f t="shared" si="9"/>
        <v>0</v>
      </c>
      <c r="C50" s="3">
        <f t="shared" si="10"/>
        <v>0</v>
      </c>
      <c r="D50" s="3">
        <f t="shared" si="10"/>
        <v>0</v>
      </c>
      <c r="E50" s="3">
        <f t="shared" si="10"/>
        <v>0</v>
      </c>
      <c r="F50" s="3">
        <f t="shared" si="10"/>
        <v>0</v>
      </c>
      <c r="G50" s="3">
        <f t="shared" si="10"/>
        <v>0</v>
      </c>
      <c r="H50" s="3">
        <f t="shared" si="10"/>
        <v>0</v>
      </c>
    </row>
    <row r="51" spans="1:8" x14ac:dyDescent="0.25">
      <c r="A51" s="3" t="str">
        <f t="shared" si="8"/>
        <v>SWEET POTATO</v>
      </c>
      <c r="B51" s="3">
        <f t="shared" si="9"/>
        <v>0</v>
      </c>
      <c r="C51" s="3">
        <f t="shared" si="10"/>
        <v>0</v>
      </c>
      <c r="D51" s="3">
        <f t="shared" si="10"/>
        <v>0</v>
      </c>
      <c r="E51" s="3">
        <f t="shared" si="10"/>
        <v>0</v>
      </c>
      <c r="F51" s="3">
        <f t="shared" si="10"/>
        <v>0</v>
      </c>
      <c r="G51" s="3">
        <f t="shared" si="10"/>
        <v>0</v>
      </c>
      <c r="H51" s="3">
        <f t="shared" si="10"/>
        <v>0</v>
      </c>
    </row>
    <row r="52" spans="1:8" x14ac:dyDescent="0.25">
      <c r="A52" s="3">
        <f t="shared" si="8"/>
        <v>0</v>
      </c>
      <c r="B52" s="3">
        <f t="shared" si="9"/>
        <v>0</v>
      </c>
      <c r="C52" s="3">
        <f t="shared" si="10"/>
        <v>0</v>
      </c>
      <c r="D52" s="3">
        <f t="shared" si="10"/>
        <v>0</v>
      </c>
      <c r="E52" s="3">
        <f t="shared" si="10"/>
        <v>0</v>
      </c>
      <c r="F52" s="3">
        <f t="shared" si="10"/>
        <v>0</v>
      </c>
      <c r="G52" s="3">
        <f t="shared" si="10"/>
        <v>0</v>
      </c>
      <c r="H52" s="3">
        <f t="shared" si="10"/>
        <v>0</v>
      </c>
    </row>
    <row r="53" spans="1:8" x14ac:dyDescent="0.25">
      <c r="A53" s="3">
        <f t="shared" si="8"/>
        <v>0</v>
      </c>
      <c r="B53" s="3">
        <f t="shared" si="9"/>
        <v>0</v>
      </c>
      <c r="C53" s="3">
        <f t="shared" si="10"/>
        <v>0</v>
      </c>
      <c r="D53" s="3">
        <f t="shared" si="10"/>
        <v>0</v>
      </c>
      <c r="E53" s="3">
        <f t="shared" si="10"/>
        <v>0</v>
      </c>
      <c r="F53" s="3">
        <f t="shared" si="10"/>
        <v>0</v>
      </c>
      <c r="G53" s="3">
        <f t="shared" si="10"/>
        <v>0</v>
      </c>
      <c r="H53" s="3">
        <f t="shared" si="10"/>
        <v>0</v>
      </c>
    </row>
    <row r="54" spans="1:8" x14ac:dyDescent="0.25">
      <c r="A54" s="3">
        <f t="shared" si="8"/>
        <v>0</v>
      </c>
      <c r="B54" s="3">
        <f t="shared" si="9"/>
        <v>0</v>
      </c>
      <c r="C54" s="3">
        <f t="shared" si="10"/>
        <v>0</v>
      </c>
      <c r="D54" s="3">
        <f t="shared" si="10"/>
        <v>0</v>
      </c>
      <c r="E54" s="3">
        <f t="shared" si="10"/>
        <v>0</v>
      </c>
      <c r="F54" s="3">
        <f t="shared" si="10"/>
        <v>0</v>
      </c>
      <c r="G54" s="3">
        <f t="shared" si="10"/>
        <v>0</v>
      </c>
      <c r="H54" s="3">
        <f t="shared" si="10"/>
        <v>0</v>
      </c>
    </row>
    <row r="55" spans="1:8" x14ac:dyDescent="0.25">
      <c r="A55" s="3" t="str">
        <f t="shared" ref="A55:A62" si="11">B24</f>
        <v>Onion</v>
      </c>
      <c r="B55" s="3">
        <f t="shared" ref="B55:B61" si="12">H24*$B$44</f>
        <v>0</v>
      </c>
      <c r="C55" s="3">
        <f t="shared" si="10"/>
        <v>0</v>
      </c>
      <c r="D55" s="3">
        <f t="shared" si="10"/>
        <v>0</v>
      </c>
      <c r="E55" s="3">
        <f t="shared" si="10"/>
        <v>0</v>
      </c>
      <c r="F55" s="3">
        <f t="shared" si="10"/>
        <v>0</v>
      </c>
      <c r="G55" s="3">
        <f t="shared" si="10"/>
        <v>0</v>
      </c>
      <c r="H55" s="3">
        <f t="shared" si="10"/>
        <v>0</v>
      </c>
    </row>
    <row r="56" spans="1:8" x14ac:dyDescent="0.25">
      <c r="A56" s="3" t="str">
        <f t="shared" si="11"/>
        <v>Tomato</v>
      </c>
      <c r="B56" s="3">
        <f t="shared" si="12"/>
        <v>0</v>
      </c>
      <c r="C56" s="3">
        <f t="shared" si="10"/>
        <v>0</v>
      </c>
      <c r="D56" s="3">
        <f t="shared" si="10"/>
        <v>0</v>
      </c>
      <c r="E56" s="3">
        <f t="shared" si="10"/>
        <v>0</v>
      </c>
      <c r="F56" s="3">
        <f t="shared" si="10"/>
        <v>0</v>
      </c>
      <c r="G56" s="3">
        <f t="shared" si="10"/>
        <v>0</v>
      </c>
      <c r="H56" s="3">
        <f t="shared" si="10"/>
        <v>0</v>
      </c>
    </row>
    <row r="57" spans="1:8" x14ac:dyDescent="0.25">
      <c r="A57" s="3" t="str">
        <f t="shared" si="11"/>
        <v>Okra</v>
      </c>
      <c r="B57" s="3">
        <f t="shared" si="12"/>
        <v>0</v>
      </c>
      <c r="C57" s="3">
        <f t="shared" si="10"/>
        <v>0</v>
      </c>
      <c r="D57" s="3">
        <f t="shared" si="10"/>
        <v>0</v>
      </c>
      <c r="E57" s="3">
        <f t="shared" si="10"/>
        <v>0</v>
      </c>
      <c r="F57" s="3">
        <f t="shared" si="10"/>
        <v>0</v>
      </c>
      <c r="G57" s="3">
        <f t="shared" si="10"/>
        <v>0</v>
      </c>
      <c r="H57" s="3">
        <f t="shared" si="10"/>
        <v>0</v>
      </c>
    </row>
    <row r="58" spans="1:8" x14ac:dyDescent="0.25">
      <c r="A58" s="3" t="str">
        <f t="shared" si="11"/>
        <v>Chilli</v>
      </c>
      <c r="B58" s="3">
        <f t="shared" si="12"/>
        <v>0</v>
      </c>
      <c r="C58" s="3">
        <f t="shared" si="10"/>
        <v>0</v>
      </c>
      <c r="D58" s="3">
        <f t="shared" si="10"/>
        <v>0</v>
      </c>
      <c r="E58" s="3">
        <f t="shared" si="10"/>
        <v>0</v>
      </c>
      <c r="F58" s="3">
        <f t="shared" si="10"/>
        <v>0</v>
      </c>
      <c r="G58" s="3">
        <f t="shared" si="10"/>
        <v>0</v>
      </c>
      <c r="H58" s="3">
        <f t="shared" si="10"/>
        <v>0</v>
      </c>
    </row>
    <row r="59" spans="1:8" x14ac:dyDescent="0.25">
      <c r="A59" s="3" t="str">
        <f t="shared" si="11"/>
        <v>Potato</v>
      </c>
      <c r="B59" s="3">
        <f t="shared" si="12"/>
        <v>0</v>
      </c>
      <c r="C59" s="3">
        <f t="shared" si="10"/>
        <v>0</v>
      </c>
      <c r="D59" s="3">
        <f t="shared" si="10"/>
        <v>0</v>
      </c>
      <c r="E59" s="3">
        <f t="shared" si="10"/>
        <v>0</v>
      </c>
      <c r="F59" s="3">
        <f t="shared" si="10"/>
        <v>0</v>
      </c>
      <c r="G59" s="3">
        <f t="shared" si="10"/>
        <v>0</v>
      </c>
      <c r="H59" s="3">
        <f t="shared" si="10"/>
        <v>0</v>
      </c>
    </row>
    <row r="60" spans="1:8" x14ac:dyDescent="0.25">
      <c r="A60" s="3" t="str">
        <f t="shared" si="11"/>
        <v>SWEET POTATO</v>
      </c>
      <c r="B60" s="3">
        <f t="shared" si="12"/>
        <v>0</v>
      </c>
      <c r="C60" s="3">
        <f t="shared" si="10"/>
        <v>0</v>
      </c>
      <c r="D60" s="3">
        <f t="shared" si="10"/>
        <v>0</v>
      </c>
      <c r="E60" s="3">
        <f t="shared" si="10"/>
        <v>0</v>
      </c>
      <c r="F60" s="3">
        <f t="shared" si="10"/>
        <v>0</v>
      </c>
      <c r="G60" s="3">
        <f t="shared" si="10"/>
        <v>0</v>
      </c>
      <c r="H60" s="3">
        <f t="shared" si="10"/>
        <v>0</v>
      </c>
    </row>
    <row r="61" spans="1:8" x14ac:dyDescent="0.25">
      <c r="A61" s="3">
        <f t="shared" si="11"/>
        <v>0</v>
      </c>
      <c r="B61" s="3">
        <f t="shared" si="12"/>
        <v>0</v>
      </c>
      <c r="C61" s="3">
        <f t="shared" si="10"/>
        <v>0</v>
      </c>
      <c r="D61" s="3">
        <f t="shared" si="10"/>
        <v>0</v>
      </c>
      <c r="E61" s="3">
        <f t="shared" si="10"/>
        <v>0</v>
      </c>
      <c r="F61" s="3">
        <f t="shared" si="10"/>
        <v>0</v>
      </c>
      <c r="G61" s="3">
        <f t="shared" si="10"/>
        <v>0</v>
      </c>
      <c r="H61" s="3">
        <f t="shared" si="10"/>
        <v>0</v>
      </c>
    </row>
    <row r="62" spans="1:8" x14ac:dyDescent="0.25">
      <c r="A62" s="3">
        <f t="shared" si="11"/>
        <v>0</v>
      </c>
      <c r="B62" s="3">
        <f t="shared" ref="B62" si="13">H31*$B$44</f>
        <v>0</v>
      </c>
      <c r="C62" s="3">
        <f t="shared" ref="C62:H70" si="14">(B62/B$44)*C$44</f>
        <v>0</v>
      </c>
      <c r="D62" s="3">
        <f t="shared" si="14"/>
        <v>0</v>
      </c>
      <c r="E62" s="3">
        <f t="shared" si="14"/>
        <v>0</v>
      </c>
      <c r="F62" s="3">
        <f t="shared" si="14"/>
        <v>0</v>
      </c>
      <c r="G62" s="3">
        <f t="shared" si="14"/>
        <v>0</v>
      </c>
      <c r="H62" s="3">
        <f t="shared" si="14"/>
        <v>0</v>
      </c>
    </row>
    <row r="63" spans="1:8" x14ac:dyDescent="0.25">
      <c r="A63" s="3">
        <f t="shared" ref="A63:A66" si="15">B33</f>
        <v>0</v>
      </c>
      <c r="B63" s="3">
        <f t="shared" ref="B63:B70" si="16">H33*$B$44</f>
        <v>0</v>
      </c>
      <c r="C63" s="3">
        <f t="shared" si="14"/>
        <v>0</v>
      </c>
      <c r="D63" s="3">
        <f t="shared" ref="D63:D66" si="17">(C63/C$44)*D$44</f>
        <v>0</v>
      </c>
      <c r="E63" s="3">
        <f t="shared" ref="E63:E66" si="18">(D63/D$44)*E$44</f>
        <v>0</v>
      </c>
      <c r="F63" s="3">
        <f t="shared" ref="F63:F66" si="19">(E63/E$44)*F$44</f>
        <v>0</v>
      </c>
      <c r="G63" s="3">
        <f t="shared" ref="G63:G66" si="20">(F63/F$44)*G$44</f>
        <v>0</v>
      </c>
      <c r="H63" s="3">
        <f t="shared" ref="H63:H66" si="21">(G63/G$44)*H$44</f>
        <v>0</v>
      </c>
    </row>
    <row r="64" spans="1:8" x14ac:dyDescent="0.25">
      <c r="A64" s="3">
        <f t="shared" si="15"/>
        <v>0</v>
      </c>
      <c r="B64" s="3">
        <f t="shared" si="16"/>
        <v>0</v>
      </c>
      <c r="C64" s="3">
        <f t="shared" si="14"/>
        <v>0</v>
      </c>
      <c r="D64" s="3">
        <f t="shared" si="17"/>
        <v>0</v>
      </c>
      <c r="E64" s="3">
        <f t="shared" si="18"/>
        <v>0</v>
      </c>
      <c r="F64" s="3">
        <f t="shared" si="19"/>
        <v>0</v>
      </c>
      <c r="G64" s="3">
        <f t="shared" si="20"/>
        <v>0</v>
      </c>
      <c r="H64" s="3">
        <f t="shared" si="21"/>
        <v>0</v>
      </c>
    </row>
    <row r="65" spans="1:8" x14ac:dyDescent="0.25">
      <c r="A65" s="3">
        <f t="shared" si="15"/>
        <v>0</v>
      </c>
      <c r="B65" s="3">
        <f t="shared" si="16"/>
        <v>0</v>
      </c>
      <c r="C65" s="3">
        <f t="shared" si="14"/>
        <v>0</v>
      </c>
      <c r="D65" s="3">
        <f t="shared" si="17"/>
        <v>0</v>
      </c>
      <c r="E65" s="3">
        <f t="shared" si="18"/>
        <v>0</v>
      </c>
      <c r="F65" s="3">
        <f t="shared" si="19"/>
        <v>0</v>
      </c>
      <c r="G65" s="3">
        <f t="shared" si="20"/>
        <v>0</v>
      </c>
      <c r="H65" s="3">
        <f t="shared" si="21"/>
        <v>0</v>
      </c>
    </row>
    <row r="66" spans="1:8" x14ac:dyDescent="0.25">
      <c r="A66" s="3">
        <f t="shared" si="15"/>
        <v>0</v>
      </c>
      <c r="B66" s="3">
        <f t="shared" si="16"/>
        <v>0</v>
      </c>
      <c r="C66" s="3">
        <f t="shared" si="14"/>
        <v>0</v>
      </c>
      <c r="D66" s="3">
        <f t="shared" si="17"/>
        <v>0</v>
      </c>
      <c r="E66" s="3">
        <f t="shared" si="18"/>
        <v>0</v>
      </c>
      <c r="F66" s="3">
        <f t="shared" si="19"/>
        <v>0</v>
      </c>
      <c r="G66" s="3">
        <f t="shared" si="20"/>
        <v>0</v>
      </c>
      <c r="H66" s="3">
        <f t="shared" si="21"/>
        <v>0</v>
      </c>
    </row>
    <row r="67" spans="1:8" x14ac:dyDescent="0.25">
      <c r="A67" s="3" t="str">
        <f>B37</f>
        <v>Pomegranate</v>
      </c>
      <c r="B67" s="3">
        <f t="shared" si="16"/>
        <v>0</v>
      </c>
      <c r="C67" s="3">
        <f t="shared" si="14"/>
        <v>0</v>
      </c>
      <c r="D67" s="3">
        <f t="shared" si="14"/>
        <v>0</v>
      </c>
      <c r="E67" s="3">
        <f t="shared" si="14"/>
        <v>0</v>
      </c>
      <c r="F67" s="3">
        <f t="shared" si="14"/>
        <v>0</v>
      </c>
      <c r="G67" s="3">
        <f t="shared" si="14"/>
        <v>0</v>
      </c>
      <c r="H67" s="3">
        <f t="shared" si="14"/>
        <v>0</v>
      </c>
    </row>
    <row r="68" spans="1:8" x14ac:dyDescent="0.25">
      <c r="A68" s="3" t="str">
        <f t="shared" ref="A68:A70" si="22">B38</f>
        <v>Custard Apple</v>
      </c>
      <c r="B68" s="3">
        <f t="shared" si="16"/>
        <v>0</v>
      </c>
      <c r="C68" s="3">
        <f t="shared" si="14"/>
        <v>0</v>
      </c>
      <c r="D68" s="3">
        <f t="shared" si="14"/>
        <v>0</v>
      </c>
      <c r="E68" s="3">
        <f t="shared" si="14"/>
        <v>0</v>
      </c>
      <c r="F68" s="3">
        <f t="shared" si="14"/>
        <v>0</v>
      </c>
      <c r="G68" s="3">
        <f t="shared" si="14"/>
        <v>0</v>
      </c>
      <c r="H68" s="3">
        <f t="shared" si="14"/>
        <v>0</v>
      </c>
    </row>
    <row r="69" spans="1:8" x14ac:dyDescent="0.25">
      <c r="A69" s="3" t="str">
        <f t="shared" si="22"/>
        <v>Guava</v>
      </c>
      <c r="B69" s="3">
        <f t="shared" si="16"/>
        <v>0</v>
      </c>
      <c r="C69" s="3">
        <f t="shared" si="14"/>
        <v>0</v>
      </c>
      <c r="D69" s="3">
        <f t="shared" si="14"/>
        <v>0</v>
      </c>
      <c r="E69" s="3">
        <f t="shared" si="14"/>
        <v>0</v>
      </c>
      <c r="F69" s="3">
        <f t="shared" si="14"/>
        <v>0</v>
      </c>
      <c r="G69" s="3">
        <f t="shared" si="14"/>
        <v>0</v>
      </c>
      <c r="H69" s="3">
        <f t="shared" si="14"/>
        <v>0</v>
      </c>
    </row>
    <row r="70" spans="1:8" x14ac:dyDescent="0.25">
      <c r="A70" s="3" t="str">
        <f t="shared" si="22"/>
        <v>CASHEW</v>
      </c>
      <c r="B70" s="3">
        <f t="shared" si="16"/>
        <v>0</v>
      </c>
      <c r="C70" s="3">
        <f t="shared" si="14"/>
        <v>0</v>
      </c>
      <c r="D70" s="3">
        <f t="shared" si="14"/>
        <v>0</v>
      </c>
      <c r="E70" s="3">
        <f t="shared" ref="E70" si="23">(D70/D$44)*E$44</f>
        <v>0</v>
      </c>
      <c r="F70" s="3">
        <f t="shared" ref="F70" si="24">(E70/E$44)*F$44</f>
        <v>0</v>
      </c>
      <c r="G70" s="3">
        <f t="shared" ref="G70:H70" si="25">(F70/F$44)*G$44</f>
        <v>0</v>
      </c>
      <c r="H70" s="3">
        <f t="shared" si="25"/>
        <v>0</v>
      </c>
    </row>
    <row r="71" spans="1:8" x14ac:dyDescent="0.25">
      <c r="A71" s="619" t="s">
        <v>562</v>
      </c>
      <c r="B71" s="620"/>
      <c r="C71" s="620"/>
      <c r="D71" s="620"/>
      <c r="E71" s="620"/>
      <c r="F71" s="620"/>
      <c r="G71" s="620"/>
      <c r="H71" s="621"/>
    </row>
    <row r="72" spans="1:8" x14ac:dyDescent="0.25">
      <c r="A72" s="636" t="s">
        <v>0</v>
      </c>
      <c r="B72" s="64">
        <v>0.05</v>
      </c>
      <c r="C72" s="64">
        <f>B72+0.05</f>
        <v>0.1</v>
      </c>
      <c r="D72" s="64">
        <f t="shared" ref="D72:G72" si="26">C72+0.05</f>
        <v>0.15000000000000002</v>
      </c>
      <c r="E72" s="64">
        <f t="shared" si="26"/>
        <v>0.2</v>
      </c>
      <c r="F72" s="64">
        <f t="shared" si="26"/>
        <v>0.25</v>
      </c>
      <c r="G72" s="64">
        <f t="shared" si="26"/>
        <v>0.3</v>
      </c>
      <c r="H72" s="64">
        <f>G72+0.05</f>
        <v>0.35</v>
      </c>
    </row>
    <row r="73" spans="1:8" x14ac:dyDescent="0.25">
      <c r="A73" s="637"/>
      <c r="B73" s="13" t="s">
        <v>2</v>
      </c>
      <c r="C73" s="13" t="s">
        <v>3</v>
      </c>
      <c r="D73" s="13" t="s">
        <v>4</v>
      </c>
      <c r="E73" s="13" t="s">
        <v>5</v>
      </c>
      <c r="F73" s="13" t="s">
        <v>6</v>
      </c>
      <c r="G73" s="13" t="s">
        <v>165</v>
      </c>
      <c r="H73" s="13" t="s">
        <v>164</v>
      </c>
    </row>
    <row r="74" spans="1:8" s="65" customFormat="1" x14ac:dyDescent="0.25">
      <c r="A74" s="3" t="str">
        <f t="shared" ref="A74:A98" si="27">A46</f>
        <v>Onion</v>
      </c>
      <c r="B74" s="3"/>
      <c r="C74" s="3"/>
      <c r="D74" s="3"/>
      <c r="E74" s="3"/>
      <c r="F74" s="3"/>
      <c r="G74" s="3"/>
      <c r="H74" s="3"/>
    </row>
    <row r="75" spans="1:8" x14ac:dyDescent="0.25">
      <c r="A75" s="3" t="str">
        <f t="shared" si="27"/>
        <v>Tomato</v>
      </c>
      <c r="B75" s="3"/>
      <c r="C75" s="3"/>
      <c r="D75" s="3"/>
      <c r="E75" s="3"/>
      <c r="F75" s="3"/>
      <c r="G75" s="3"/>
      <c r="H75" s="3"/>
    </row>
    <row r="76" spans="1:8" x14ac:dyDescent="0.25">
      <c r="A76" s="3" t="str">
        <f t="shared" si="27"/>
        <v>Okra</v>
      </c>
      <c r="B76" s="3"/>
      <c r="C76" s="3"/>
      <c r="D76" s="3"/>
      <c r="E76" s="3"/>
      <c r="F76" s="3"/>
      <c r="G76" s="3"/>
      <c r="H76" s="3"/>
    </row>
    <row r="77" spans="1:8" x14ac:dyDescent="0.25">
      <c r="A77" s="3" t="str">
        <f t="shared" si="27"/>
        <v>Chilli</v>
      </c>
      <c r="B77" s="3"/>
      <c r="C77" s="3"/>
      <c r="D77" s="3"/>
      <c r="E77" s="3"/>
      <c r="F77" s="3"/>
      <c r="G77" s="3"/>
      <c r="H77" s="3"/>
    </row>
    <row r="78" spans="1:8" x14ac:dyDescent="0.25">
      <c r="A78" s="3" t="str">
        <f t="shared" si="27"/>
        <v>Potato</v>
      </c>
      <c r="B78" s="3"/>
      <c r="C78" s="3"/>
      <c r="D78" s="3"/>
      <c r="E78" s="3"/>
      <c r="F78" s="3"/>
      <c r="G78" s="3"/>
      <c r="H78" s="3"/>
    </row>
    <row r="79" spans="1:8" x14ac:dyDescent="0.25">
      <c r="A79" s="3" t="str">
        <f t="shared" si="27"/>
        <v>SWEET POTATO</v>
      </c>
      <c r="B79" s="3"/>
      <c r="C79" s="3"/>
      <c r="D79" s="3"/>
      <c r="E79" s="3"/>
      <c r="F79" s="3"/>
      <c r="G79" s="3"/>
      <c r="H79" s="3"/>
    </row>
    <row r="80" spans="1:8" x14ac:dyDescent="0.25">
      <c r="A80" s="3">
        <f t="shared" si="27"/>
        <v>0</v>
      </c>
      <c r="B80" s="3"/>
      <c r="C80" s="3"/>
      <c r="D80" s="3"/>
      <c r="E80" s="3"/>
      <c r="F80" s="3"/>
      <c r="G80" s="3"/>
      <c r="H80" s="3"/>
    </row>
    <row r="81" spans="1:8" x14ac:dyDescent="0.25">
      <c r="A81" s="3">
        <f t="shared" si="27"/>
        <v>0</v>
      </c>
      <c r="B81" s="3"/>
      <c r="C81" s="3"/>
      <c r="D81" s="3"/>
      <c r="E81" s="3"/>
      <c r="F81" s="3"/>
      <c r="G81" s="3"/>
      <c r="H81" s="3"/>
    </row>
    <row r="82" spans="1:8" x14ac:dyDescent="0.25">
      <c r="A82" s="3">
        <f t="shared" si="27"/>
        <v>0</v>
      </c>
      <c r="B82" s="3"/>
      <c r="C82" s="3"/>
      <c r="D82" s="3"/>
      <c r="E82" s="3"/>
      <c r="F82" s="3"/>
      <c r="G82" s="3"/>
      <c r="H82" s="3"/>
    </row>
    <row r="83" spans="1:8" x14ac:dyDescent="0.25">
      <c r="A83" s="3" t="str">
        <f t="shared" si="27"/>
        <v>Onion</v>
      </c>
      <c r="B83" s="3"/>
      <c r="C83" s="3"/>
      <c r="D83" s="3"/>
      <c r="E83" s="3"/>
      <c r="F83" s="3"/>
      <c r="G83" s="3"/>
      <c r="H83" s="3"/>
    </row>
    <row r="84" spans="1:8" x14ac:dyDescent="0.25">
      <c r="A84" s="3" t="str">
        <f t="shared" si="27"/>
        <v>Tomato</v>
      </c>
      <c r="B84" s="3"/>
      <c r="C84" s="3"/>
      <c r="D84" s="3"/>
      <c r="E84" s="3"/>
      <c r="F84" s="3"/>
      <c r="G84" s="3"/>
      <c r="H84" s="3"/>
    </row>
    <row r="85" spans="1:8" x14ac:dyDescent="0.25">
      <c r="A85" s="3" t="str">
        <f t="shared" si="27"/>
        <v>Okra</v>
      </c>
      <c r="B85" s="3"/>
      <c r="C85" s="3"/>
      <c r="D85" s="3"/>
      <c r="E85" s="3"/>
      <c r="F85" s="3"/>
      <c r="G85" s="3"/>
      <c r="H85" s="3"/>
    </row>
    <row r="86" spans="1:8" x14ac:dyDescent="0.25">
      <c r="A86" s="3" t="str">
        <f t="shared" si="27"/>
        <v>Chilli</v>
      </c>
      <c r="B86" s="3"/>
      <c r="C86" s="3"/>
      <c r="D86" s="3"/>
      <c r="E86" s="3"/>
      <c r="F86" s="3"/>
      <c r="G86" s="3"/>
      <c r="H86" s="3"/>
    </row>
    <row r="87" spans="1:8" x14ac:dyDescent="0.25">
      <c r="A87" s="3" t="str">
        <f t="shared" si="27"/>
        <v>Potato</v>
      </c>
      <c r="B87" s="3"/>
      <c r="C87" s="3"/>
      <c r="D87" s="3"/>
      <c r="E87" s="3"/>
      <c r="F87" s="3"/>
      <c r="G87" s="3"/>
      <c r="H87" s="3"/>
    </row>
    <row r="88" spans="1:8" x14ac:dyDescent="0.25">
      <c r="A88" s="3" t="str">
        <f t="shared" si="27"/>
        <v>SWEET POTATO</v>
      </c>
      <c r="B88" s="3"/>
      <c r="C88" s="3"/>
      <c r="D88" s="3"/>
      <c r="E88" s="3"/>
      <c r="F88" s="3"/>
      <c r="G88" s="3"/>
      <c r="H88" s="3"/>
    </row>
    <row r="89" spans="1:8" x14ac:dyDescent="0.25">
      <c r="A89" s="3">
        <f t="shared" si="27"/>
        <v>0</v>
      </c>
      <c r="B89" s="3"/>
      <c r="C89" s="3"/>
      <c r="D89" s="3"/>
      <c r="E89" s="3"/>
      <c r="F89" s="3"/>
      <c r="G89" s="3"/>
      <c r="H89" s="3"/>
    </row>
    <row r="90" spans="1:8" x14ac:dyDescent="0.25">
      <c r="A90" s="3">
        <f t="shared" si="27"/>
        <v>0</v>
      </c>
      <c r="B90" s="3"/>
      <c r="C90" s="3"/>
      <c r="D90" s="3"/>
      <c r="E90" s="3"/>
      <c r="F90" s="3"/>
      <c r="G90" s="3"/>
      <c r="H90" s="3"/>
    </row>
    <row r="91" spans="1:8" x14ac:dyDescent="0.25">
      <c r="A91" s="3">
        <f t="shared" si="27"/>
        <v>0</v>
      </c>
      <c r="B91" s="3"/>
      <c r="C91" s="3"/>
      <c r="D91" s="3"/>
      <c r="E91" s="3"/>
      <c r="F91" s="3"/>
      <c r="G91" s="3"/>
      <c r="H91" s="3"/>
    </row>
    <row r="92" spans="1:8" x14ac:dyDescent="0.25">
      <c r="A92" s="3">
        <f t="shared" si="27"/>
        <v>0</v>
      </c>
      <c r="B92" s="3"/>
      <c r="C92" s="3"/>
      <c r="D92" s="3"/>
      <c r="E92" s="3"/>
      <c r="F92" s="3"/>
      <c r="G92" s="3"/>
      <c r="H92" s="3"/>
    </row>
    <row r="93" spans="1:8" x14ac:dyDescent="0.25">
      <c r="A93" s="3">
        <f t="shared" si="27"/>
        <v>0</v>
      </c>
      <c r="B93" s="3"/>
      <c r="C93" s="3"/>
      <c r="D93" s="3"/>
      <c r="E93" s="3"/>
      <c r="F93" s="3"/>
      <c r="G93" s="3"/>
      <c r="H93" s="3"/>
    </row>
    <row r="94" spans="1:8" x14ac:dyDescent="0.25">
      <c r="A94" s="3">
        <f t="shared" si="27"/>
        <v>0</v>
      </c>
      <c r="B94" s="3"/>
      <c r="C94" s="3"/>
      <c r="D94" s="3"/>
      <c r="E94" s="3"/>
      <c r="F94" s="3"/>
      <c r="G94" s="3"/>
      <c r="H94" s="3"/>
    </row>
    <row r="95" spans="1:8" x14ac:dyDescent="0.25">
      <c r="A95" s="3" t="str">
        <f t="shared" si="27"/>
        <v>Pomegranate</v>
      </c>
      <c r="B95" s="3"/>
      <c r="C95" s="3"/>
      <c r="D95" s="3"/>
      <c r="E95" s="3"/>
      <c r="F95" s="3"/>
      <c r="G95" s="3"/>
      <c r="H95" s="3"/>
    </row>
    <row r="96" spans="1:8" x14ac:dyDescent="0.25">
      <c r="A96" s="3" t="str">
        <f t="shared" si="27"/>
        <v>Custard Apple</v>
      </c>
      <c r="B96" s="3"/>
      <c r="C96" s="3"/>
      <c r="D96" s="3"/>
      <c r="E96" s="3"/>
      <c r="F96" s="3"/>
      <c r="G96" s="3"/>
      <c r="H96" s="3"/>
    </row>
    <row r="97" spans="1:9" x14ac:dyDescent="0.25">
      <c r="A97" s="3" t="str">
        <f t="shared" si="27"/>
        <v>Guava</v>
      </c>
      <c r="B97" s="3"/>
      <c r="C97" s="3"/>
      <c r="D97" s="3"/>
      <c r="E97" s="3"/>
      <c r="F97" s="3"/>
      <c r="G97" s="3"/>
      <c r="H97" s="3"/>
    </row>
    <row r="98" spans="1:9" x14ac:dyDescent="0.25">
      <c r="A98" s="3" t="str">
        <f t="shared" si="27"/>
        <v>CASHEW</v>
      </c>
      <c r="B98" s="3"/>
      <c r="C98" s="3"/>
      <c r="D98" s="3"/>
      <c r="E98" s="3"/>
      <c r="F98" s="3"/>
      <c r="G98" s="3"/>
      <c r="H98" s="3"/>
      <c r="I98" s="4"/>
    </row>
    <row r="99" spans="1:9" x14ac:dyDescent="0.25">
      <c r="A99" s="619" t="s">
        <v>563</v>
      </c>
      <c r="B99" s="620"/>
      <c r="C99" s="620"/>
      <c r="D99" s="620"/>
      <c r="E99" s="620"/>
      <c r="F99" s="620"/>
      <c r="G99" s="620"/>
      <c r="H99" s="621"/>
    </row>
    <row r="100" spans="1:9" x14ac:dyDescent="0.25">
      <c r="A100" s="622" t="s">
        <v>0</v>
      </c>
      <c r="B100" s="66">
        <v>0.65</v>
      </c>
      <c r="C100" s="67">
        <f>B100+0.05</f>
        <v>0.70000000000000007</v>
      </c>
      <c r="D100" s="67">
        <f t="shared" ref="D100:G100" si="28">C100+0.05</f>
        <v>0.75000000000000011</v>
      </c>
      <c r="E100" s="67">
        <f t="shared" si="28"/>
        <v>0.80000000000000016</v>
      </c>
      <c r="F100" s="67">
        <f t="shared" si="28"/>
        <v>0.8500000000000002</v>
      </c>
      <c r="G100" s="67">
        <f t="shared" si="28"/>
        <v>0.90000000000000024</v>
      </c>
      <c r="H100" s="67">
        <f>G100+0.05</f>
        <v>0.95000000000000029</v>
      </c>
    </row>
    <row r="101" spans="1:9" x14ac:dyDescent="0.25">
      <c r="A101" s="623"/>
      <c r="B101" s="13" t="s">
        <v>2</v>
      </c>
      <c r="C101" s="13" t="s">
        <v>3</v>
      </c>
      <c r="D101" s="13" t="s">
        <v>4</v>
      </c>
      <c r="E101" s="13" t="s">
        <v>5</v>
      </c>
      <c r="F101" s="13" t="s">
        <v>6</v>
      </c>
      <c r="G101" s="13" t="s">
        <v>165</v>
      </c>
      <c r="H101" s="13" t="s">
        <v>164</v>
      </c>
    </row>
    <row r="102" spans="1:9" s="65" customFormat="1" x14ac:dyDescent="0.25">
      <c r="A102" s="3" t="str">
        <f t="shared" ref="A102:A126" si="29">A74</f>
        <v>Onion</v>
      </c>
      <c r="B102" s="3"/>
      <c r="C102" s="68"/>
      <c r="D102" s="68"/>
      <c r="E102" s="68"/>
      <c r="F102" s="68"/>
      <c r="G102" s="68"/>
      <c r="H102" s="68"/>
    </row>
    <row r="103" spans="1:9" x14ac:dyDescent="0.25">
      <c r="A103" s="3" t="str">
        <f t="shared" si="29"/>
        <v>Tomato</v>
      </c>
      <c r="B103" s="3"/>
      <c r="C103" s="68"/>
      <c r="D103" s="68"/>
      <c r="E103" s="68"/>
      <c r="F103" s="68"/>
      <c r="G103" s="68"/>
      <c r="H103" s="68"/>
    </row>
    <row r="104" spans="1:9" x14ac:dyDescent="0.25">
      <c r="A104" s="3" t="str">
        <f t="shared" si="29"/>
        <v>Okra</v>
      </c>
      <c r="B104" s="3"/>
      <c r="C104" s="68"/>
      <c r="D104" s="68"/>
      <c r="E104" s="68"/>
      <c r="F104" s="68"/>
      <c r="G104" s="68"/>
      <c r="H104" s="68"/>
    </row>
    <row r="105" spans="1:9" x14ac:dyDescent="0.25">
      <c r="A105" s="3" t="str">
        <f t="shared" si="29"/>
        <v>Chilli</v>
      </c>
      <c r="B105" s="3"/>
      <c r="C105" s="68"/>
      <c r="D105" s="68"/>
      <c r="E105" s="68"/>
      <c r="F105" s="68"/>
      <c r="G105" s="68"/>
      <c r="H105" s="68"/>
    </row>
    <row r="106" spans="1:9" x14ac:dyDescent="0.25">
      <c r="A106" s="3" t="str">
        <f t="shared" si="29"/>
        <v>Potato</v>
      </c>
      <c r="B106" s="69"/>
      <c r="C106" s="68"/>
      <c r="D106" s="68"/>
      <c r="E106" s="68"/>
      <c r="F106" s="68"/>
      <c r="G106" s="68"/>
      <c r="H106" s="68"/>
    </row>
    <row r="107" spans="1:9" x14ac:dyDescent="0.25">
      <c r="A107" s="3" t="str">
        <f t="shared" si="29"/>
        <v>SWEET POTATO</v>
      </c>
      <c r="B107" s="3"/>
      <c r="C107" s="68"/>
      <c r="D107" s="68"/>
      <c r="E107" s="68"/>
      <c r="F107" s="68"/>
      <c r="G107" s="68"/>
      <c r="H107" s="68"/>
    </row>
    <row r="108" spans="1:9" x14ac:dyDescent="0.25">
      <c r="A108" s="3">
        <f t="shared" si="29"/>
        <v>0</v>
      </c>
      <c r="B108" s="3"/>
      <c r="C108" s="68"/>
      <c r="D108" s="68"/>
      <c r="E108" s="68"/>
      <c r="F108" s="68"/>
      <c r="G108" s="68"/>
      <c r="H108" s="68"/>
    </row>
    <row r="109" spans="1:9" x14ac:dyDescent="0.25">
      <c r="A109" s="3">
        <f t="shared" si="29"/>
        <v>0</v>
      </c>
      <c r="B109" s="3"/>
      <c r="C109" s="68"/>
      <c r="D109" s="68"/>
      <c r="E109" s="68"/>
      <c r="F109" s="68"/>
      <c r="G109" s="68"/>
      <c r="H109" s="68"/>
    </row>
    <row r="110" spans="1:9" x14ac:dyDescent="0.25">
      <c r="A110" s="3">
        <f t="shared" si="29"/>
        <v>0</v>
      </c>
      <c r="B110" s="3"/>
      <c r="C110" s="68"/>
      <c r="D110" s="68"/>
      <c r="E110" s="68"/>
      <c r="F110" s="68"/>
      <c r="G110" s="68"/>
      <c r="H110" s="68"/>
    </row>
    <row r="111" spans="1:9" x14ac:dyDescent="0.25">
      <c r="A111" s="3" t="str">
        <f t="shared" si="29"/>
        <v>Onion</v>
      </c>
      <c r="B111" s="3"/>
      <c r="C111" s="68"/>
      <c r="D111" s="68"/>
      <c r="E111" s="68"/>
      <c r="F111" s="68"/>
      <c r="G111" s="68"/>
      <c r="H111" s="68"/>
    </row>
    <row r="112" spans="1:9" x14ac:dyDescent="0.25">
      <c r="A112" s="3" t="str">
        <f t="shared" si="29"/>
        <v>Tomato</v>
      </c>
      <c r="B112" s="3"/>
      <c r="C112" s="68"/>
      <c r="D112" s="68"/>
      <c r="E112" s="68"/>
      <c r="F112" s="68"/>
      <c r="G112" s="68"/>
      <c r="H112" s="68"/>
    </row>
    <row r="113" spans="1:9" x14ac:dyDescent="0.25">
      <c r="A113" s="3" t="str">
        <f t="shared" si="29"/>
        <v>Okra</v>
      </c>
      <c r="B113" s="3"/>
      <c r="C113" s="68"/>
      <c r="D113" s="68"/>
      <c r="E113" s="68"/>
      <c r="F113" s="68"/>
      <c r="G113" s="68"/>
      <c r="H113" s="68"/>
    </row>
    <row r="114" spans="1:9" x14ac:dyDescent="0.25">
      <c r="A114" s="3" t="str">
        <f t="shared" si="29"/>
        <v>Chilli</v>
      </c>
      <c r="B114" s="3"/>
      <c r="C114" s="68"/>
      <c r="D114" s="68"/>
      <c r="E114" s="68"/>
      <c r="F114" s="68"/>
      <c r="G114" s="68"/>
      <c r="H114" s="68"/>
    </row>
    <row r="115" spans="1:9" x14ac:dyDescent="0.25">
      <c r="A115" s="3" t="str">
        <f t="shared" si="29"/>
        <v>Potato</v>
      </c>
      <c r="B115" s="3"/>
      <c r="C115" s="68"/>
      <c r="D115" s="68"/>
      <c r="E115" s="68"/>
      <c r="F115" s="68"/>
      <c r="G115" s="68"/>
      <c r="H115" s="68"/>
    </row>
    <row r="116" spans="1:9" x14ac:dyDescent="0.25">
      <c r="A116" s="3" t="str">
        <f t="shared" si="29"/>
        <v>SWEET POTATO</v>
      </c>
      <c r="B116" s="3"/>
      <c r="C116" s="68"/>
      <c r="D116" s="68"/>
      <c r="E116" s="68"/>
      <c r="F116" s="68"/>
      <c r="G116" s="68"/>
      <c r="H116" s="68"/>
    </row>
    <row r="117" spans="1:9" x14ac:dyDescent="0.25">
      <c r="A117" s="3">
        <f t="shared" si="29"/>
        <v>0</v>
      </c>
      <c r="B117" s="3"/>
      <c r="C117" s="68"/>
      <c r="D117" s="68"/>
      <c r="E117" s="68"/>
      <c r="F117" s="68"/>
      <c r="G117" s="68"/>
      <c r="H117" s="68"/>
    </row>
    <row r="118" spans="1:9" x14ac:dyDescent="0.25">
      <c r="A118" s="3">
        <f t="shared" si="29"/>
        <v>0</v>
      </c>
      <c r="B118" s="3"/>
      <c r="C118" s="68"/>
      <c r="D118" s="68"/>
      <c r="E118" s="68"/>
      <c r="F118" s="68"/>
      <c r="G118" s="68"/>
      <c r="H118" s="68"/>
    </row>
    <row r="119" spans="1:9" x14ac:dyDescent="0.25">
      <c r="A119" s="3">
        <f t="shared" si="29"/>
        <v>0</v>
      </c>
      <c r="B119" s="3"/>
      <c r="C119" s="68"/>
      <c r="D119" s="68"/>
      <c r="E119" s="68"/>
      <c r="F119" s="68"/>
      <c r="G119" s="68"/>
      <c r="H119" s="68"/>
    </row>
    <row r="120" spans="1:9" x14ac:dyDescent="0.25">
      <c r="A120" s="3">
        <f t="shared" si="29"/>
        <v>0</v>
      </c>
      <c r="B120" s="3"/>
      <c r="C120" s="68"/>
      <c r="D120" s="68"/>
      <c r="E120" s="68"/>
      <c r="F120" s="68"/>
      <c r="G120" s="68"/>
      <c r="H120" s="68"/>
    </row>
    <row r="121" spans="1:9" x14ac:dyDescent="0.25">
      <c r="A121" s="3">
        <f t="shared" si="29"/>
        <v>0</v>
      </c>
      <c r="B121" s="3"/>
      <c r="C121" s="68"/>
      <c r="D121" s="68"/>
      <c r="E121" s="68"/>
      <c r="F121" s="68"/>
      <c r="G121" s="68"/>
      <c r="H121" s="68"/>
    </row>
    <row r="122" spans="1:9" x14ac:dyDescent="0.25">
      <c r="A122" s="3">
        <f t="shared" si="29"/>
        <v>0</v>
      </c>
      <c r="B122" s="3"/>
      <c r="C122" s="68"/>
      <c r="D122" s="68"/>
      <c r="E122" s="68"/>
      <c r="F122" s="68"/>
      <c r="G122" s="68"/>
      <c r="H122" s="68"/>
    </row>
    <row r="123" spans="1:9" x14ac:dyDescent="0.25">
      <c r="A123" s="3" t="str">
        <f t="shared" si="29"/>
        <v>Pomegranate</v>
      </c>
      <c r="B123" s="3"/>
      <c r="C123" s="68"/>
      <c r="D123" s="68"/>
      <c r="E123" s="68"/>
      <c r="F123" s="68"/>
      <c r="G123" s="68"/>
      <c r="H123" s="68"/>
    </row>
    <row r="124" spans="1:9" x14ac:dyDescent="0.25">
      <c r="A124" s="3" t="str">
        <f t="shared" si="29"/>
        <v>Custard Apple</v>
      </c>
      <c r="B124" s="3"/>
      <c r="C124" s="68"/>
      <c r="D124" s="68"/>
      <c r="E124" s="68"/>
      <c r="F124" s="68"/>
      <c r="G124" s="68"/>
      <c r="H124" s="68"/>
    </row>
    <row r="125" spans="1:9" x14ac:dyDescent="0.25">
      <c r="A125" s="3" t="str">
        <f t="shared" si="29"/>
        <v>Guava</v>
      </c>
      <c r="B125" s="3"/>
      <c r="C125" s="68"/>
      <c r="D125" s="68"/>
      <c r="E125" s="68"/>
      <c r="F125" s="68"/>
      <c r="G125" s="68"/>
      <c r="H125" s="68"/>
    </row>
    <row r="126" spans="1:9" x14ac:dyDescent="0.25">
      <c r="A126" s="3" t="str">
        <f t="shared" si="29"/>
        <v>CASHEW</v>
      </c>
      <c r="B126" s="3"/>
      <c r="C126" s="68"/>
      <c r="D126" s="68"/>
      <c r="E126" s="68"/>
      <c r="F126" s="68"/>
      <c r="G126" s="68"/>
      <c r="H126" s="68"/>
    </row>
    <row r="128" spans="1:9" x14ac:dyDescent="0.25">
      <c r="C128" s="8"/>
      <c r="D128" s="7"/>
      <c r="E128" s="7"/>
      <c r="F128" s="7"/>
      <c r="G128" s="7"/>
      <c r="H128" s="7"/>
      <c r="I128" s="7"/>
    </row>
    <row r="129" spans="1:9" x14ac:dyDescent="0.25">
      <c r="A129" s="1" t="s">
        <v>527</v>
      </c>
      <c r="C129" s="46"/>
      <c r="D129" s="46"/>
      <c r="E129" s="46"/>
      <c r="F129" s="46"/>
      <c r="G129" s="46"/>
      <c r="H129" s="46"/>
      <c r="I129" s="46"/>
    </row>
    <row r="130" spans="1:9" x14ac:dyDescent="0.25">
      <c r="A130" s="1">
        <v>1</v>
      </c>
      <c r="B130" s="1" t="s">
        <v>528</v>
      </c>
    </row>
    <row r="131" spans="1:9" x14ac:dyDescent="0.25">
      <c r="A131" s="1">
        <v>2</v>
      </c>
      <c r="B131" s="1" t="s">
        <v>529</v>
      </c>
    </row>
    <row r="132" spans="1:9" x14ac:dyDescent="0.25">
      <c r="A132" s="1">
        <v>3</v>
      </c>
      <c r="B132" s="1" t="s">
        <v>530</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1"/>
  <sheetViews>
    <sheetView showGridLines="0" topLeftCell="A293" zoomScale="78" zoomScaleNormal="100" zoomScaleSheetLayoutView="80" workbookViewId="0">
      <selection activeCell="A251" sqref="A251:C251"/>
    </sheetView>
  </sheetViews>
  <sheetFormatPr defaultColWidth="8.7109375" defaultRowHeight="15" x14ac:dyDescent="0.25"/>
  <cols>
    <col min="1" max="1" width="42.42578125" style="192" bestFit="1" customWidth="1"/>
    <col min="2" max="2" width="23.42578125" style="192" customWidth="1"/>
    <col min="3" max="3" width="11.85546875" style="192" customWidth="1"/>
    <col min="4" max="5" width="15.85546875" style="192" bestFit="1" customWidth="1"/>
    <col min="6" max="6" width="18.140625" style="192" bestFit="1" customWidth="1"/>
    <col min="7" max="10" width="15.85546875" style="192" bestFit="1" customWidth="1"/>
    <col min="11" max="11" width="10.5703125" style="192" bestFit="1" customWidth="1"/>
    <col min="12" max="12" width="8.7109375" style="192"/>
    <col min="13" max="13" width="22.85546875" style="192" bestFit="1" customWidth="1"/>
    <col min="14" max="14" width="12.85546875" style="192" bestFit="1" customWidth="1"/>
    <col min="15" max="16384" width="8.7109375" style="192"/>
  </cols>
  <sheetData>
    <row r="2" spans="1:10" ht="14.45" x14ac:dyDescent="0.35">
      <c r="A2" s="565" t="s">
        <v>564</v>
      </c>
      <c r="B2" s="565"/>
      <c r="C2" s="565"/>
      <c r="D2" s="565"/>
      <c r="E2" s="565"/>
      <c r="F2" s="565"/>
      <c r="G2" s="565"/>
      <c r="H2" s="565"/>
    </row>
    <row r="3" spans="1:10" ht="14.45" x14ac:dyDescent="0.35">
      <c r="A3" s="565" t="s">
        <v>565</v>
      </c>
      <c r="B3" s="565"/>
      <c r="C3" s="565"/>
      <c r="D3" s="565"/>
      <c r="E3" s="565"/>
      <c r="F3" s="565"/>
      <c r="G3" s="565"/>
      <c r="H3" s="565"/>
    </row>
    <row r="4" spans="1:10" ht="14.45" x14ac:dyDescent="0.35">
      <c r="F4" s="565" t="s">
        <v>463</v>
      </c>
      <c r="G4" s="565"/>
      <c r="H4" s="565"/>
    </row>
    <row r="5" spans="1:10" ht="14.45" x14ac:dyDescent="0.35">
      <c r="A5" s="192" t="s">
        <v>157</v>
      </c>
      <c r="B5" s="383">
        <v>10</v>
      </c>
      <c r="C5" s="192" t="s">
        <v>440</v>
      </c>
      <c r="F5" s="273" t="s">
        <v>464</v>
      </c>
      <c r="G5" s="273" t="s">
        <v>465</v>
      </c>
    </row>
    <row r="6" spans="1:10" ht="14.45" x14ac:dyDescent="0.35">
      <c r="A6" s="192" t="s">
        <v>158</v>
      </c>
      <c r="B6" s="384">
        <v>8</v>
      </c>
      <c r="D6" s="192">
        <f>600/8</f>
        <v>75</v>
      </c>
      <c r="F6" s="312" t="s">
        <v>461</v>
      </c>
      <c r="G6" s="397">
        <v>0.03</v>
      </c>
    </row>
    <row r="7" spans="1:10" ht="14.45" x14ac:dyDescent="0.35">
      <c r="F7" s="312" t="s">
        <v>462</v>
      </c>
      <c r="G7" s="397">
        <v>0.05</v>
      </c>
    </row>
    <row r="8" spans="1:10" ht="14.45" x14ac:dyDescent="0.35">
      <c r="A8" s="192" t="s">
        <v>501</v>
      </c>
      <c r="B8" s="192">
        <v>240</v>
      </c>
      <c r="F8" s="312"/>
      <c r="G8" s="397"/>
    </row>
    <row r="9" spans="1:10" ht="14.45" x14ac:dyDescent="0.35">
      <c r="A9" s="363" t="s">
        <v>0</v>
      </c>
      <c r="B9" s="364" t="s">
        <v>2</v>
      </c>
      <c r="C9" s="364" t="s">
        <v>3</v>
      </c>
      <c r="D9" s="364" t="s">
        <v>4</v>
      </c>
      <c r="E9" s="364" t="s">
        <v>5</v>
      </c>
      <c r="F9" s="364" t="s">
        <v>6</v>
      </c>
      <c r="G9" s="364" t="s">
        <v>165</v>
      </c>
      <c r="H9" s="364" t="s">
        <v>164</v>
      </c>
    </row>
    <row r="10" spans="1:10" ht="14.45" x14ac:dyDescent="0.35">
      <c r="A10" s="312" t="s">
        <v>439</v>
      </c>
      <c r="B10" s="398">
        <f>B33/($B$5*$B$6)</f>
        <v>96.285024000000021</v>
      </c>
      <c r="C10" s="398">
        <f t="shared" ref="C10:H10" si="0">C33/($B$5*$B$6)</f>
        <v>104.30877600000004</v>
      </c>
      <c r="D10" s="398">
        <f t="shared" si="0"/>
        <v>112.33252800000002</v>
      </c>
      <c r="E10" s="398">
        <f t="shared" si="0"/>
        <v>120.35628000000004</v>
      </c>
      <c r="F10" s="398">
        <f t="shared" si="0"/>
        <v>128.38003200000006</v>
      </c>
      <c r="G10" s="398">
        <f t="shared" si="0"/>
        <v>136.40378400000006</v>
      </c>
      <c r="H10" s="398">
        <f t="shared" si="0"/>
        <v>144.42753600000009</v>
      </c>
      <c r="J10" s="399">
        <f>AVERAGE(B10:H10)</f>
        <v>120.35628000000004</v>
      </c>
    </row>
    <row r="11" spans="1:10" ht="14.45" hidden="1" x14ac:dyDescent="0.35">
      <c r="A11" s="400" t="str">
        <f>Grain!A49</f>
        <v>Soybean</v>
      </c>
      <c r="B11" s="400">
        <f>Grain!B49</f>
        <v>0</v>
      </c>
      <c r="C11" s="400">
        <f>Grain!C49</f>
        <v>0</v>
      </c>
      <c r="D11" s="400">
        <f>Grain!D49</f>
        <v>0</v>
      </c>
      <c r="E11" s="400">
        <f>Grain!E49</f>
        <v>0</v>
      </c>
      <c r="F11" s="400">
        <f>Grain!F49</f>
        <v>0</v>
      </c>
      <c r="G11" s="400">
        <f>Grain!G49</f>
        <v>0</v>
      </c>
      <c r="H11" s="400">
        <f>Grain!H49</f>
        <v>0</v>
      </c>
    </row>
    <row r="12" spans="1:10" ht="14.45" hidden="1" x14ac:dyDescent="0.35">
      <c r="A12" s="400" t="str">
        <f>Grain!A50</f>
        <v>Red Gram/Tur</v>
      </c>
      <c r="B12" s="400">
        <f>Grain!B50</f>
        <v>0</v>
      </c>
      <c r="C12" s="400">
        <f>Grain!C50</f>
        <v>0</v>
      </c>
      <c r="D12" s="400">
        <f>Grain!D50</f>
        <v>0</v>
      </c>
      <c r="E12" s="400">
        <f>Grain!E50</f>
        <v>0</v>
      </c>
      <c r="F12" s="400">
        <f>Grain!F50</f>
        <v>0</v>
      </c>
      <c r="G12" s="400">
        <f>Grain!G50</f>
        <v>0</v>
      </c>
      <c r="H12" s="400">
        <f>Grain!H50</f>
        <v>0</v>
      </c>
    </row>
    <row r="13" spans="1:10" ht="14.45" hidden="1" x14ac:dyDescent="0.35">
      <c r="A13" s="400" t="str">
        <f>Grain!A51</f>
        <v>Paddy/Rice</v>
      </c>
      <c r="B13" s="400">
        <f>Grain!B51</f>
        <v>0</v>
      </c>
      <c r="C13" s="400">
        <f>Grain!C51</f>
        <v>0</v>
      </c>
      <c r="D13" s="400">
        <f>Grain!D51</f>
        <v>0</v>
      </c>
      <c r="E13" s="400">
        <f>Grain!E51</f>
        <v>0</v>
      </c>
      <c r="F13" s="400">
        <f>Grain!F51</f>
        <v>0</v>
      </c>
      <c r="G13" s="400">
        <f>Grain!G51</f>
        <v>0</v>
      </c>
      <c r="H13" s="400">
        <f>Grain!H51</f>
        <v>0</v>
      </c>
    </row>
    <row r="14" spans="1:10" ht="14.45" hidden="1" x14ac:dyDescent="0.35">
      <c r="A14" s="400" t="str">
        <f>Grain!A52</f>
        <v>Masoor/ Moong</v>
      </c>
      <c r="B14" s="400">
        <f>Grain!B52</f>
        <v>0</v>
      </c>
      <c r="C14" s="400">
        <f>Grain!C52</f>
        <v>0</v>
      </c>
      <c r="D14" s="400">
        <f>Grain!D52</f>
        <v>0</v>
      </c>
      <c r="E14" s="400">
        <f>Grain!E52</f>
        <v>0</v>
      </c>
      <c r="F14" s="400">
        <f>Grain!F52</f>
        <v>0</v>
      </c>
      <c r="G14" s="400">
        <f>Grain!G52</f>
        <v>0</v>
      </c>
      <c r="H14" s="400">
        <f>Grain!H52</f>
        <v>0</v>
      </c>
    </row>
    <row r="15" spans="1:10" ht="14.45" hidden="1" x14ac:dyDescent="0.35">
      <c r="A15" s="400" t="str">
        <f>Grain!A53</f>
        <v>Sweet Potato</v>
      </c>
      <c r="B15" s="400">
        <f>Grain!B53</f>
        <v>0</v>
      </c>
      <c r="C15" s="400">
        <f>Grain!C53</f>
        <v>0</v>
      </c>
      <c r="D15" s="400">
        <f>Grain!D53</f>
        <v>0</v>
      </c>
      <c r="E15" s="400">
        <f>Grain!E53</f>
        <v>0</v>
      </c>
      <c r="F15" s="400">
        <f>Grain!F53</f>
        <v>0</v>
      </c>
      <c r="G15" s="400">
        <f>Grain!G53</f>
        <v>0</v>
      </c>
      <c r="H15" s="400">
        <f>Grain!H53</f>
        <v>0</v>
      </c>
    </row>
    <row r="16" spans="1:10" ht="14.45" hidden="1" x14ac:dyDescent="0.35">
      <c r="A16" s="400" t="str">
        <f>Grain!A54</f>
        <v>Black Gram/Udid</v>
      </c>
      <c r="B16" s="400">
        <f>Grain!B54</f>
        <v>0</v>
      </c>
      <c r="C16" s="400">
        <f>Grain!C54</f>
        <v>0</v>
      </c>
      <c r="D16" s="400">
        <f>Grain!D54</f>
        <v>0</v>
      </c>
      <c r="E16" s="400">
        <f>Grain!E54</f>
        <v>0</v>
      </c>
      <c r="F16" s="400">
        <f>Grain!F54</f>
        <v>0</v>
      </c>
      <c r="G16" s="400">
        <f>Grain!G54</f>
        <v>0</v>
      </c>
      <c r="H16" s="400">
        <f>Grain!H54</f>
        <v>0</v>
      </c>
    </row>
    <row r="17" spans="1:8" ht="14.45" hidden="1" x14ac:dyDescent="0.35">
      <c r="A17" s="400" t="str">
        <f>Grain!A55</f>
        <v>RAGI</v>
      </c>
      <c r="B17" s="400">
        <f>Grain!B55</f>
        <v>0</v>
      </c>
      <c r="C17" s="400">
        <f>Grain!C55</f>
        <v>0</v>
      </c>
      <c r="D17" s="400">
        <f>Grain!D55</f>
        <v>0</v>
      </c>
      <c r="E17" s="400">
        <f>Grain!E55</f>
        <v>0</v>
      </c>
      <c r="F17" s="400">
        <f>Grain!F55</f>
        <v>0</v>
      </c>
      <c r="G17" s="400">
        <f>Grain!G55</f>
        <v>0</v>
      </c>
      <c r="H17" s="400">
        <f>Grain!H55</f>
        <v>0</v>
      </c>
    </row>
    <row r="18" spans="1:8" ht="14.45" hidden="1" x14ac:dyDescent="0.35">
      <c r="A18" s="400" t="str">
        <f>Grain!A56</f>
        <v>Jawar</v>
      </c>
      <c r="B18" s="400">
        <f>Grain!B56</f>
        <v>0</v>
      </c>
      <c r="C18" s="400">
        <f>Grain!C56</f>
        <v>0</v>
      </c>
      <c r="D18" s="400">
        <f>Grain!D56</f>
        <v>0</v>
      </c>
      <c r="E18" s="400">
        <f>Grain!E56</f>
        <v>0</v>
      </c>
      <c r="F18" s="400">
        <f>Grain!F56</f>
        <v>0</v>
      </c>
      <c r="G18" s="400">
        <f>Grain!G56</f>
        <v>0</v>
      </c>
      <c r="H18" s="400">
        <f>Grain!H56</f>
        <v>0</v>
      </c>
    </row>
    <row r="19" spans="1:8" ht="14.45" hidden="1" x14ac:dyDescent="0.35">
      <c r="A19" s="400" t="str">
        <f>Grain!A57</f>
        <v>Sunflower</v>
      </c>
      <c r="B19" s="400">
        <f>Grain!B57</f>
        <v>0</v>
      </c>
      <c r="C19" s="400">
        <f>Grain!C57</f>
        <v>0</v>
      </c>
      <c r="D19" s="400">
        <f>Grain!D57</f>
        <v>0</v>
      </c>
      <c r="E19" s="400">
        <f>Grain!E57</f>
        <v>0</v>
      </c>
      <c r="F19" s="400">
        <f>Grain!F57</f>
        <v>0</v>
      </c>
      <c r="G19" s="400">
        <f>Grain!G57</f>
        <v>0</v>
      </c>
      <c r="H19" s="400">
        <f>Grain!H57</f>
        <v>0</v>
      </c>
    </row>
    <row r="20" spans="1:8" ht="14.45" hidden="1" x14ac:dyDescent="0.35">
      <c r="A20" s="400" t="str">
        <f>Grain!A58</f>
        <v>Wheat</v>
      </c>
      <c r="B20" s="400">
        <f>Grain!B58</f>
        <v>0</v>
      </c>
      <c r="C20" s="400">
        <f>Grain!C58</f>
        <v>0</v>
      </c>
      <c r="D20" s="400">
        <f>Grain!D58</f>
        <v>0</v>
      </c>
      <c r="E20" s="400">
        <f>Grain!E58</f>
        <v>0</v>
      </c>
      <c r="F20" s="400">
        <f>Grain!F58</f>
        <v>0</v>
      </c>
      <c r="G20" s="400">
        <f>Grain!G58</f>
        <v>0</v>
      </c>
      <c r="H20" s="400">
        <f>Grain!H58</f>
        <v>0</v>
      </c>
    </row>
    <row r="21" spans="1:8" ht="14.45" hidden="1" x14ac:dyDescent="0.35">
      <c r="A21" s="400" t="str">
        <f>Grain!A59</f>
        <v>Bengal Gram/Channa</v>
      </c>
      <c r="B21" s="400">
        <f>Grain!B59</f>
        <v>0</v>
      </c>
      <c r="C21" s="400">
        <f>Grain!C59</f>
        <v>0</v>
      </c>
      <c r="D21" s="400">
        <f>Grain!D59</f>
        <v>0</v>
      </c>
      <c r="E21" s="400">
        <f>Grain!E59</f>
        <v>0</v>
      </c>
      <c r="F21" s="400">
        <f>Grain!F59</f>
        <v>0</v>
      </c>
      <c r="G21" s="400">
        <f>Grain!G59</f>
        <v>0</v>
      </c>
      <c r="H21" s="400">
        <f>Grain!H59</f>
        <v>0</v>
      </c>
    </row>
    <row r="22" spans="1:8" ht="14.45" hidden="1" x14ac:dyDescent="0.35">
      <c r="A22" s="400" t="str">
        <f>Grain!A60</f>
        <v>Jawar</v>
      </c>
      <c r="B22" s="400">
        <f>Grain!B60</f>
        <v>0</v>
      </c>
      <c r="C22" s="400">
        <f>Grain!C60</f>
        <v>0</v>
      </c>
      <c r="D22" s="400">
        <f>Grain!D60</f>
        <v>0</v>
      </c>
      <c r="E22" s="400">
        <f>Grain!E60</f>
        <v>0</v>
      </c>
      <c r="F22" s="400">
        <f>Grain!F60</f>
        <v>0</v>
      </c>
      <c r="G22" s="400">
        <f>Grain!G60</f>
        <v>0</v>
      </c>
      <c r="H22" s="400">
        <f>Grain!H60</f>
        <v>0</v>
      </c>
    </row>
    <row r="23" spans="1:8" ht="14.45" hidden="1" x14ac:dyDescent="0.35">
      <c r="A23" s="400" t="str">
        <f>Grain!A61</f>
        <v>Sweet Potato</v>
      </c>
      <c r="B23" s="400">
        <f>Grain!B61</f>
        <v>0</v>
      </c>
      <c r="C23" s="400">
        <f>Grain!C61</f>
        <v>0</v>
      </c>
      <c r="D23" s="400">
        <f>Grain!D61</f>
        <v>0</v>
      </c>
      <c r="E23" s="400">
        <f>Grain!E61</f>
        <v>0</v>
      </c>
      <c r="F23" s="400">
        <f>Grain!F61</f>
        <v>0</v>
      </c>
      <c r="G23" s="400">
        <f>Grain!G61</f>
        <v>0</v>
      </c>
      <c r="H23" s="400">
        <f>Grain!H61</f>
        <v>0</v>
      </c>
    </row>
    <row r="24" spans="1:8" ht="14.45" hidden="1" x14ac:dyDescent="0.35">
      <c r="A24" s="400" t="str">
        <f>Grain!A62</f>
        <v>Safflower</v>
      </c>
      <c r="B24" s="400">
        <f>Grain!B62</f>
        <v>0</v>
      </c>
      <c r="C24" s="400">
        <f>Grain!C62</f>
        <v>0</v>
      </c>
      <c r="D24" s="400">
        <f>Grain!D62</f>
        <v>0</v>
      </c>
      <c r="E24" s="400">
        <f>Grain!E62</f>
        <v>0</v>
      </c>
      <c r="F24" s="400">
        <f>Grain!F62</f>
        <v>0</v>
      </c>
      <c r="G24" s="400">
        <f>Grain!G62</f>
        <v>0</v>
      </c>
      <c r="H24" s="400">
        <f>Grain!H62</f>
        <v>0</v>
      </c>
    </row>
    <row r="25" spans="1:8" ht="14.45" hidden="1" x14ac:dyDescent="0.35">
      <c r="A25" s="400">
        <f>Grain!A63</f>
        <v>0</v>
      </c>
      <c r="B25" s="400">
        <f>Grain!B63</f>
        <v>0</v>
      </c>
      <c r="C25" s="400">
        <f>Grain!C63</f>
        <v>0</v>
      </c>
      <c r="D25" s="400">
        <f>Grain!D63</f>
        <v>0</v>
      </c>
      <c r="E25" s="400">
        <f>Grain!E63</f>
        <v>0</v>
      </c>
      <c r="F25" s="400">
        <f>Grain!F63</f>
        <v>0</v>
      </c>
      <c r="G25" s="400">
        <f>Grain!G63</f>
        <v>0</v>
      </c>
      <c r="H25" s="400">
        <f>Grain!H63</f>
        <v>0</v>
      </c>
    </row>
    <row r="26" spans="1:8" ht="14.45" hidden="1" x14ac:dyDescent="0.35">
      <c r="A26" s="400">
        <f>Grain!A64</f>
        <v>0</v>
      </c>
      <c r="B26" s="400">
        <f>Grain!B64</f>
        <v>0</v>
      </c>
      <c r="C26" s="400">
        <f>Grain!C64</f>
        <v>0</v>
      </c>
      <c r="D26" s="400">
        <f>Grain!D64</f>
        <v>0</v>
      </c>
      <c r="E26" s="400">
        <f>Grain!E64</f>
        <v>0</v>
      </c>
      <c r="F26" s="400">
        <f>Grain!F64</f>
        <v>0</v>
      </c>
      <c r="G26" s="400">
        <f>Grain!G64</f>
        <v>0</v>
      </c>
      <c r="H26" s="400">
        <f>Grain!H64</f>
        <v>0</v>
      </c>
    </row>
    <row r="27" spans="1:8" ht="14.45" hidden="1" x14ac:dyDescent="0.35">
      <c r="A27" s="400">
        <f>Grain!A65</f>
        <v>0</v>
      </c>
      <c r="B27" s="400">
        <f>Grain!B65</f>
        <v>0</v>
      </c>
      <c r="C27" s="400">
        <f>Grain!C65</f>
        <v>0</v>
      </c>
      <c r="D27" s="400">
        <f>Grain!D65</f>
        <v>0</v>
      </c>
      <c r="E27" s="400">
        <f>Grain!E65</f>
        <v>0</v>
      </c>
      <c r="F27" s="400">
        <f>Grain!F65</f>
        <v>0</v>
      </c>
      <c r="G27" s="400">
        <f>Grain!G65</f>
        <v>0</v>
      </c>
      <c r="H27" s="400">
        <f>Grain!H65</f>
        <v>0</v>
      </c>
    </row>
    <row r="28" spans="1:8" ht="14.45" hidden="1" x14ac:dyDescent="0.35">
      <c r="A28" s="400" t="str">
        <f>Grain!A66</f>
        <v>Groundnut</v>
      </c>
      <c r="B28" s="400">
        <f>Grain!B66</f>
        <v>0</v>
      </c>
      <c r="C28" s="400">
        <f>Grain!C66</f>
        <v>0</v>
      </c>
      <c r="D28" s="400">
        <f>Grain!D66</f>
        <v>0</v>
      </c>
      <c r="E28" s="400">
        <f>Grain!E66</f>
        <v>0</v>
      </c>
      <c r="F28" s="400">
        <f>Grain!F66</f>
        <v>0</v>
      </c>
      <c r="G28" s="400">
        <f>Grain!G66</f>
        <v>0</v>
      </c>
      <c r="H28" s="400">
        <f>Grain!H66</f>
        <v>0</v>
      </c>
    </row>
    <row r="29" spans="1:8" ht="14.45" x14ac:dyDescent="0.35">
      <c r="A29" s="400" t="str">
        <f>Grain!A67</f>
        <v>RAGI</v>
      </c>
      <c r="B29" s="400">
        <f>Grain!B67</f>
        <v>7702.8019200000017</v>
      </c>
      <c r="C29" s="400">
        <f>Grain!C67</f>
        <v>8344.7020800000028</v>
      </c>
      <c r="D29" s="400">
        <f>Grain!D67</f>
        <v>8986.602240000002</v>
      </c>
      <c r="E29" s="400">
        <f>Grain!E67</f>
        <v>9628.502400000003</v>
      </c>
      <c r="F29" s="400">
        <f>Grain!F67</f>
        <v>10270.402560000004</v>
      </c>
      <c r="G29" s="400">
        <f>Grain!G67</f>
        <v>10912.302720000005</v>
      </c>
      <c r="H29" s="400">
        <f>Grain!H67</f>
        <v>11554.202880000006</v>
      </c>
    </row>
    <row r="30" spans="1:8" ht="14.45" hidden="1" x14ac:dyDescent="0.35">
      <c r="A30" s="400">
        <f>Grain!A68</f>
        <v>0</v>
      </c>
      <c r="B30" s="400">
        <f>Grain!B68</f>
        <v>0</v>
      </c>
      <c r="C30" s="400">
        <f>Grain!C68</f>
        <v>0</v>
      </c>
      <c r="D30" s="400">
        <f>Grain!D68</f>
        <v>0</v>
      </c>
      <c r="E30" s="400">
        <f>Grain!E68</f>
        <v>0</v>
      </c>
      <c r="F30" s="400">
        <f>Grain!F68</f>
        <v>0</v>
      </c>
      <c r="G30" s="400">
        <f>Grain!G68</f>
        <v>0</v>
      </c>
      <c r="H30" s="400">
        <f>Grain!H68</f>
        <v>0</v>
      </c>
    </row>
    <row r="31" spans="1:8" ht="14.45" hidden="1" x14ac:dyDescent="0.35">
      <c r="A31" s="400">
        <f>Grain!A69</f>
        <v>0</v>
      </c>
      <c r="B31" s="400">
        <f>Grain!B69</f>
        <v>0</v>
      </c>
      <c r="C31" s="400">
        <f>Grain!C69</f>
        <v>0</v>
      </c>
      <c r="D31" s="400">
        <f>Grain!D69</f>
        <v>0</v>
      </c>
      <c r="E31" s="400">
        <f>Grain!E69</f>
        <v>0</v>
      </c>
      <c r="F31" s="400">
        <f>Grain!F69</f>
        <v>0</v>
      </c>
      <c r="G31" s="400">
        <f>Grain!G69</f>
        <v>0</v>
      </c>
      <c r="H31" s="400">
        <f>Grain!H69</f>
        <v>0</v>
      </c>
    </row>
    <row r="32" spans="1:8" ht="14.45" hidden="1" x14ac:dyDescent="0.35">
      <c r="A32" s="400">
        <f>Grain!B70</f>
        <v>0</v>
      </c>
      <c r="B32" s="400">
        <f>Grain!C70</f>
        <v>0</v>
      </c>
      <c r="C32" s="400">
        <f>Grain!D70</f>
        <v>0</v>
      </c>
      <c r="D32" s="400">
        <f>Grain!E70</f>
        <v>0</v>
      </c>
      <c r="E32" s="400">
        <f>Grain!F70</f>
        <v>0</v>
      </c>
      <c r="F32" s="400">
        <f>Grain!G70</f>
        <v>0</v>
      </c>
      <c r="G32" s="400">
        <f>Grain!H70</f>
        <v>0</v>
      </c>
      <c r="H32" s="400">
        <f>Grain!I70</f>
        <v>0</v>
      </c>
    </row>
    <row r="33" spans="1:8" ht="14.45" x14ac:dyDescent="0.35">
      <c r="A33" s="347" t="s">
        <v>498</v>
      </c>
      <c r="B33" s="400">
        <f t="shared" ref="B33:H33" si="1">SUM(B11:B32)</f>
        <v>7702.8019200000017</v>
      </c>
      <c r="C33" s="400">
        <f t="shared" si="1"/>
        <v>8344.7020800000028</v>
      </c>
      <c r="D33" s="400">
        <f t="shared" si="1"/>
        <v>8986.602240000002</v>
      </c>
      <c r="E33" s="400">
        <f t="shared" si="1"/>
        <v>9628.502400000003</v>
      </c>
      <c r="F33" s="400">
        <f t="shared" si="1"/>
        <v>10270.402560000004</v>
      </c>
      <c r="G33" s="400">
        <f t="shared" si="1"/>
        <v>10912.302720000005</v>
      </c>
      <c r="H33" s="400">
        <f t="shared" si="1"/>
        <v>11554.202880000006</v>
      </c>
    </row>
    <row r="34" spans="1:8" ht="14.45" hidden="1" x14ac:dyDescent="0.35">
      <c r="A34" s="400" t="str">
        <f>'F&amp;V '!A1:H1</f>
        <v>Fruit  &amp; Vegetables Crop Production Details</v>
      </c>
      <c r="B34" s="400"/>
      <c r="C34" s="400"/>
      <c r="D34" s="400"/>
      <c r="E34" s="400"/>
      <c r="F34" s="400"/>
      <c r="G34" s="400"/>
      <c r="H34" s="400"/>
    </row>
    <row r="35" spans="1:8" ht="14.45" hidden="1" x14ac:dyDescent="0.35">
      <c r="A35" s="400" t="str">
        <f>'F&amp;V '!A46</f>
        <v>Onion</v>
      </c>
      <c r="B35" s="400">
        <f>'F&amp;V '!B46</f>
        <v>0</v>
      </c>
      <c r="C35" s="400">
        <f>'F&amp;V '!C46</f>
        <v>0</v>
      </c>
      <c r="D35" s="400">
        <f>'F&amp;V '!D46</f>
        <v>0</v>
      </c>
      <c r="E35" s="400">
        <f>'F&amp;V '!E46</f>
        <v>0</v>
      </c>
      <c r="F35" s="400">
        <f>'F&amp;V '!F46</f>
        <v>0</v>
      </c>
      <c r="G35" s="400">
        <f>'F&amp;V '!G46</f>
        <v>0</v>
      </c>
      <c r="H35" s="400">
        <f>'F&amp;V '!H46</f>
        <v>0</v>
      </c>
    </row>
    <row r="36" spans="1:8" ht="14.45" hidden="1" x14ac:dyDescent="0.35">
      <c r="A36" s="400" t="str">
        <f>'F&amp;V '!A47</f>
        <v>Tomato</v>
      </c>
      <c r="B36" s="400">
        <f>'F&amp;V '!B47</f>
        <v>0</v>
      </c>
      <c r="C36" s="400">
        <f>'F&amp;V '!C47</f>
        <v>0</v>
      </c>
      <c r="D36" s="400">
        <f>'F&amp;V '!D47</f>
        <v>0</v>
      </c>
      <c r="E36" s="400">
        <f>'F&amp;V '!E47</f>
        <v>0</v>
      </c>
      <c r="F36" s="400">
        <f>'F&amp;V '!F47</f>
        <v>0</v>
      </c>
      <c r="G36" s="400">
        <f>'F&amp;V '!G47</f>
        <v>0</v>
      </c>
      <c r="H36" s="400">
        <f>'F&amp;V '!H47</f>
        <v>0</v>
      </c>
    </row>
    <row r="37" spans="1:8" ht="14.45" hidden="1" x14ac:dyDescent="0.35">
      <c r="A37" s="400" t="str">
        <f>'F&amp;V '!A48</f>
        <v>Okra</v>
      </c>
      <c r="B37" s="400">
        <f>'F&amp;V '!B48</f>
        <v>0</v>
      </c>
      <c r="C37" s="400">
        <f>'F&amp;V '!C48</f>
        <v>0</v>
      </c>
      <c r="D37" s="400">
        <f>'F&amp;V '!D48</f>
        <v>0</v>
      </c>
      <c r="E37" s="400">
        <f>'F&amp;V '!E48</f>
        <v>0</v>
      </c>
      <c r="F37" s="400">
        <f>'F&amp;V '!F48</f>
        <v>0</v>
      </c>
      <c r="G37" s="400">
        <f>'F&amp;V '!G48</f>
        <v>0</v>
      </c>
      <c r="H37" s="400">
        <f>'F&amp;V '!H48</f>
        <v>0</v>
      </c>
    </row>
    <row r="38" spans="1:8" ht="14.45" hidden="1" x14ac:dyDescent="0.35">
      <c r="A38" s="400" t="str">
        <f>'F&amp;V '!A49</f>
        <v>Chilli</v>
      </c>
      <c r="B38" s="400">
        <f>'F&amp;V '!B49</f>
        <v>0</v>
      </c>
      <c r="C38" s="400">
        <f>'F&amp;V '!C49</f>
        <v>0</v>
      </c>
      <c r="D38" s="400">
        <f>'F&amp;V '!D49</f>
        <v>0</v>
      </c>
      <c r="E38" s="400">
        <f>'F&amp;V '!E49</f>
        <v>0</v>
      </c>
      <c r="F38" s="400">
        <f>'F&amp;V '!F49</f>
        <v>0</v>
      </c>
      <c r="G38" s="400">
        <f>'F&amp;V '!G49</f>
        <v>0</v>
      </c>
      <c r="H38" s="400">
        <f>'F&amp;V '!H49</f>
        <v>0</v>
      </c>
    </row>
    <row r="39" spans="1:8" ht="14.45" hidden="1" x14ac:dyDescent="0.35">
      <c r="A39" s="400" t="str">
        <f>'F&amp;V '!A50</f>
        <v>Potato</v>
      </c>
      <c r="B39" s="400">
        <f>'F&amp;V '!B50</f>
        <v>0</v>
      </c>
      <c r="C39" s="400">
        <f>'F&amp;V '!C50</f>
        <v>0</v>
      </c>
      <c r="D39" s="400">
        <f>'F&amp;V '!D50</f>
        <v>0</v>
      </c>
      <c r="E39" s="400">
        <f>'F&amp;V '!E50</f>
        <v>0</v>
      </c>
      <c r="F39" s="400">
        <f>'F&amp;V '!F50</f>
        <v>0</v>
      </c>
      <c r="G39" s="400">
        <f>'F&amp;V '!G50</f>
        <v>0</v>
      </c>
      <c r="H39" s="400">
        <f>'F&amp;V '!H50</f>
        <v>0</v>
      </c>
    </row>
    <row r="40" spans="1:8" ht="14.45" hidden="1" x14ac:dyDescent="0.35">
      <c r="A40" s="400" t="str">
        <f>'F&amp;V '!A51</f>
        <v>SWEET POTATO</v>
      </c>
      <c r="B40" s="400">
        <f>'F&amp;V '!B51</f>
        <v>0</v>
      </c>
      <c r="C40" s="400">
        <f>'F&amp;V '!C51</f>
        <v>0</v>
      </c>
      <c r="D40" s="400">
        <f>'F&amp;V '!D51</f>
        <v>0</v>
      </c>
      <c r="E40" s="400">
        <f>'F&amp;V '!E51</f>
        <v>0</v>
      </c>
      <c r="F40" s="400">
        <f>'F&amp;V '!F51</f>
        <v>0</v>
      </c>
      <c r="G40" s="400">
        <f>'F&amp;V '!G51</f>
        <v>0</v>
      </c>
      <c r="H40" s="400">
        <f>'F&amp;V '!H51</f>
        <v>0</v>
      </c>
    </row>
    <row r="41" spans="1:8" ht="14.45" hidden="1" x14ac:dyDescent="0.35">
      <c r="A41" s="400">
        <f>'F&amp;V '!A52</f>
        <v>0</v>
      </c>
      <c r="B41" s="400">
        <f>'F&amp;V '!B52</f>
        <v>0</v>
      </c>
      <c r="C41" s="400">
        <f>'F&amp;V '!C52</f>
        <v>0</v>
      </c>
      <c r="D41" s="400">
        <f>'F&amp;V '!D52</f>
        <v>0</v>
      </c>
      <c r="E41" s="400">
        <f>'F&amp;V '!E52</f>
        <v>0</v>
      </c>
      <c r="F41" s="400">
        <f>'F&amp;V '!F52</f>
        <v>0</v>
      </c>
      <c r="G41" s="400">
        <f>'F&amp;V '!G52</f>
        <v>0</v>
      </c>
      <c r="H41" s="400">
        <f>'F&amp;V '!H52</f>
        <v>0</v>
      </c>
    </row>
    <row r="42" spans="1:8" ht="14.45" hidden="1" x14ac:dyDescent="0.35">
      <c r="A42" s="400">
        <f>'F&amp;V '!A53</f>
        <v>0</v>
      </c>
      <c r="B42" s="400">
        <f>'F&amp;V '!B53</f>
        <v>0</v>
      </c>
      <c r="C42" s="400">
        <f>'F&amp;V '!C53</f>
        <v>0</v>
      </c>
      <c r="D42" s="400">
        <f>'F&amp;V '!D53</f>
        <v>0</v>
      </c>
      <c r="E42" s="400">
        <f>'F&amp;V '!E53</f>
        <v>0</v>
      </c>
      <c r="F42" s="400">
        <f>'F&amp;V '!F53</f>
        <v>0</v>
      </c>
      <c r="G42" s="400">
        <f>'F&amp;V '!G53</f>
        <v>0</v>
      </c>
      <c r="H42" s="400">
        <f>'F&amp;V '!H53</f>
        <v>0</v>
      </c>
    </row>
    <row r="43" spans="1:8" ht="14.45" hidden="1" x14ac:dyDescent="0.35">
      <c r="A43" s="400">
        <f>'F&amp;V '!A54</f>
        <v>0</v>
      </c>
      <c r="B43" s="400">
        <f>'F&amp;V '!B54</f>
        <v>0</v>
      </c>
      <c r="C43" s="400">
        <f>'F&amp;V '!C54</f>
        <v>0</v>
      </c>
      <c r="D43" s="400">
        <f>'F&amp;V '!D54</f>
        <v>0</v>
      </c>
      <c r="E43" s="400">
        <f>'F&amp;V '!E54</f>
        <v>0</v>
      </c>
      <c r="F43" s="400">
        <f>'F&amp;V '!F54</f>
        <v>0</v>
      </c>
      <c r="G43" s="400">
        <f>'F&amp;V '!G54</f>
        <v>0</v>
      </c>
      <c r="H43" s="400">
        <f>'F&amp;V '!H54</f>
        <v>0</v>
      </c>
    </row>
    <row r="44" spans="1:8" ht="14.45" hidden="1" x14ac:dyDescent="0.35">
      <c r="A44" s="400" t="str">
        <f>'F&amp;V '!A55</f>
        <v>Onion</v>
      </c>
      <c r="B44" s="400">
        <f>'F&amp;V '!B55</f>
        <v>0</v>
      </c>
      <c r="C44" s="400">
        <f>'F&amp;V '!C55</f>
        <v>0</v>
      </c>
      <c r="D44" s="400">
        <f>'F&amp;V '!D55</f>
        <v>0</v>
      </c>
      <c r="E44" s="400">
        <f>'F&amp;V '!E55</f>
        <v>0</v>
      </c>
      <c r="F44" s="400">
        <f>'F&amp;V '!F55</f>
        <v>0</v>
      </c>
      <c r="G44" s="400">
        <f>'F&amp;V '!G55</f>
        <v>0</v>
      </c>
      <c r="H44" s="400">
        <f>'F&amp;V '!H55</f>
        <v>0</v>
      </c>
    </row>
    <row r="45" spans="1:8" ht="14.45" hidden="1" x14ac:dyDescent="0.35">
      <c r="A45" s="400" t="str">
        <f>'F&amp;V '!A56</f>
        <v>Tomato</v>
      </c>
      <c r="B45" s="400">
        <f>'F&amp;V '!B56</f>
        <v>0</v>
      </c>
      <c r="C45" s="400">
        <f>'F&amp;V '!C56</f>
        <v>0</v>
      </c>
      <c r="D45" s="400">
        <f>'F&amp;V '!D56</f>
        <v>0</v>
      </c>
      <c r="E45" s="400">
        <f>'F&amp;V '!E56</f>
        <v>0</v>
      </c>
      <c r="F45" s="400">
        <f>'F&amp;V '!F56</f>
        <v>0</v>
      </c>
      <c r="G45" s="400">
        <f>'F&amp;V '!G56</f>
        <v>0</v>
      </c>
      <c r="H45" s="400">
        <f>'F&amp;V '!H56</f>
        <v>0</v>
      </c>
    </row>
    <row r="46" spans="1:8" ht="14.45" hidden="1" x14ac:dyDescent="0.35">
      <c r="A46" s="400" t="str">
        <f>'F&amp;V '!A57</f>
        <v>Okra</v>
      </c>
      <c r="B46" s="400">
        <f>'F&amp;V '!B57</f>
        <v>0</v>
      </c>
      <c r="C46" s="400">
        <f>'F&amp;V '!C57</f>
        <v>0</v>
      </c>
      <c r="D46" s="400">
        <f>'F&amp;V '!D57</f>
        <v>0</v>
      </c>
      <c r="E46" s="400">
        <f>'F&amp;V '!E57</f>
        <v>0</v>
      </c>
      <c r="F46" s="400">
        <f>'F&amp;V '!F57</f>
        <v>0</v>
      </c>
      <c r="G46" s="400">
        <f>'F&amp;V '!G57</f>
        <v>0</v>
      </c>
      <c r="H46" s="400">
        <f>'F&amp;V '!H57</f>
        <v>0</v>
      </c>
    </row>
    <row r="47" spans="1:8" ht="14.45" hidden="1" x14ac:dyDescent="0.35">
      <c r="A47" s="400" t="str">
        <f>'F&amp;V '!A58</f>
        <v>Chilli</v>
      </c>
      <c r="B47" s="400">
        <f>'F&amp;V '!B58</f>
        <v>0</v>
      </c>
      <c r="C47" s="400">
        <f>'F&amp;V '!C58</f>
        <v>0</v>
      </c>
      <c r="D47" s="400">
        <f>'F&amp;V '!D58</f>
        <v>0</v>
      </c>
      <c r="E47" s="400">
        <f>'F&amp;V '!E58</f>
        <v>0</v>
      </c>
      <c r="F47" s="400">
        <f>'F&amp;V '!F58</f>
        <v>0</v>
      </c>
      <c r="G47" s="400">
        <f>'F&amp;V '!G58</f>
        <v>0</v>
      </c>
      <c r="H47" s="400">
        <f>'F&amp;V '!H58</f>
        <v>0</v>
      </c>
    </row>
    <row r="48" spans="1:8" ht="14.45" hidden="1" x14ac:dyDescent="0.35">
      <c r="A48" s="400" t="str">
        <f>'F&amp;V '!A59</f>
        <v>Potato</v>
      </c>
      <c r="B48" s="400">
        <f>'F&amp;V '!B59</f>
        <v>0</v>
      </c>
      <c r="C48" s="400">
        <f>'F&amp;V '!C59</f>
        <v>0</v>
      </c>
      <c r="D48" s="400">
        <f>'F&amp;V '!D59</f>
        <v>0</v>
      </c>
      <c r="E48" s="400">
        <f>'F&amp;V '!E59</f>
        <v>0</v>
      </c>
      <c r="F48" s="400">
        <f>'F&amp;V '!F59</f>
        <v>0</v>
      </c>
      <c r="G48" s="400">
        <f>'F&amp;V '!G59</f>
        <v>0</v>
      </c>
      <c r="H48" s="400">
        <f>'F&amp;V '!H59</f>
        <v>0</v>
      </c>
    </row>
    <row r="49" spans="1:8" ht="14.45" hidden="1" x14ac:dyDescent="0.35">
      <c r="A49" s="400" t="str">
        <f>'F&amp;V '!A60</f>
        <v>SWEET POTATO</v>
      </c>
      <c r="B49" s="400">
        <f>'F&amp;V '!B60</f>
        <v>0</v>
      </c>
      <c r="C49" s="400">
        <f>'F&amp;V '!C60</f>
        <v>0</v>
      </c>
      <c r="D49" s="400">
        <f>'F&amp;V '!D60</f>
        <v>0</v>
      </c>
      <c r="E49" s="400">
        <f>'F&amp;V '!E60</f>
        <v>0</v>
      </c>
      <c r="F49" s="400">
        <f>'F&amp;V '!F60</f>
        <v>0</v>
      </c>
      <c r="G49" s="400">
        <f>'F&amp;V '!G60</f>
        <v>0</v>
      </c>
      <c r="H49" s="400">
        <f>'F&amp;V '!H60</f>
        <v>0</v>
      </c>
    </row>
    <row r="50" spans="1:8" ht="14.45" hidden="1" x14ac:dyDescent="0.35">
      <c r="A50" s="400">
        <f>'F&amp;V '!A61</f>
        <v>0</v>
      </c>
      <c r="B50" s="400">
        <f>'F&amp;V '!B61</f>
        <v>0</v>
      </c>
      <c r="C50" s="400">
        <f>'F&amp;V '!C61</f>
        <v>0</v>
      </c>
      <c r="D50" s="400">
        <f>'F&amp;V '!D61</f>
        <v>0</v>
      </c>
      <c r="E50" s="400">
        <f>'F&amp;V '!E61</f>
        <v>0</v>
      </c>
      <c r="F50" s="400">
        <f>'F&amp;V '!F61</f>
        <v>0</v>
      </c>
      <c r="G50" s="400">
        <f>'F&amp;V '!G61</f>
        <v>0</v>
      </c>
      <c r="H50" s="400">
        <f>'F&amp;V '!H61</f>
        <v>0</v>
      </c>
    </row>
    <row r="51" spans="1:8" ht="14.45" hidden="1" x14ac:dyDescent="0.35">
      <c r="A51" s="400">
        <f>'F&amp;V '!A62</f>
        <v>0</v>
      </c>
      <c r="B51" s="400">
        <f>'F&amp;V '!B62</f>
        <v>0</v>
      </c>
      <c r="C51" s="400">
        <f>'F&amp;V '!C62</f>
        <v>0</v>
      </c>
      <c r="D51" s="400">
        <f>'F&amp;V '!D62</f>
        <v>0</v>
      </c>
      <c r="E51" s="400">
        <f>'F&amp;V '!E62</f>
        <v>0</v>
      </c>
      <c r="F51" s="400">
        <f>'F&amp;V '!F62</f>
        <v>0</v>
      </c>
      <c r="G51" s="400">
        <f>'F&amp;V '!G62</f>
        <v>0</v>
      </c>
      <c r="H51" s="400">
        <f>'F&amp;V '!H62</f>
        <v>0</v>
      </c>
    </row>
    <row r="52" spans="1:8" ht="14.45" hidden="1" x14ac:dyDescent="0.35">
      <c r="A52" s="400">
        <f>'F&amp;V '!A63</f>
        <v>0</v>
      </c>
      <c r="B52" s="400">
        <f>'F&amp;V '!B63</f>
        <v>0</v>
      </c>
      <c r="C52" s="400">
        <f>'F&amp;V '!C63</f>
        <v>0</v>
      </c>
      <c r="D52" s="400">
        <f>'F&amp;V '!D63</f>
        <v>0</v>
      </c>
      <c r="E52" s="400">
        <f>'F&amp;V '!E63</f>
        <v>0</v>
      </c>
      <c r="F52" s="400">
        <f>'F&amp;V '!F63</f>
        <v>0</v>
      </c>
      <c r="G52" s="400">
        <f>'F&amp;V '!G63</f>
        <v>0</v>
      </c>
      <c r="H52" s="400">
        <f>'F&amp;V '!H63</f>
        <v>0</v>
      </c>
    </row>
    <row r="53" spans="1:8" ht="14.45" hidden="1" x14ac:dyDescent="0.35">
      <c r="A53" s="400">
        <f>'F&amp;V '!A64</f>
        <v>0</v>
      </c>
      <c r="B53" s="400"/>
      <c r="C53" s="400"/>
      <c r="D53" s="400"/>
      <c r="E53" s="400"/>
      <c r="F53" s="400"/>
      <c r="G53" s="400"/>
      <c r="H53" s="400"/>
    </row>
    <row r="54" spans="1:8" ht="14.45" hidden="1" x14ac:dyDescent="0.35">
      <c r="A54" s="400">
        <f>'F&amp;V '!A65</f>
        <v>0</v>
      </c>
      <c r="B54" s="400"/>
      <c r="C54" s="400"/>
      <c r="D54" s="400"/>
      <c r="E54" s="400"/>
      <c r="F54" s="400"/>
      <c r="G54" s="400"/>
      <c r="H54" s="400"/>
    </row>
    <row r="55" spans="1:8" ht="14.45" hidden="1" x14ac:dyDescent="0.35">
      <c r="A55" s="400">
        <f>'F&amp;V '!A66</f>
        <v>0</v>
      </c>
      <c r="B55" s="400"/>
      <c r="C55" s="400"/>
      <c r="D55" s="400"/>
      <c r="E55" s="400"/>
      <c r="F55" s="400"/>
      <c r="G55" s="400"/>
      <c r="H55" s="400"/>
    </row>
    <row r="56" spans="1:8" ht="14.45" hidden="1" x14ac:dyDescent="0.35">
      <c r="A56" s="400" t="str">
        <f>'F&amp;V '!A67</f>
        <v>Pomegranate</v>
      </c>
      <c r="B56" s="400">
        <f>'F&amp;V '!B67</f>
        <v>0</v>
      </c>
      <c r="C56" s="400">
        <f>'F&amp;V '!C67</f>
        <v>0</v>
      </c>
      <c r="D56" s="400">
        <f>'F&amp;V '!D67</f>
        <v>0</v>
      </c>
      <c r="E56" s="400">
        <f>'F&amp;V '!E67</f>
        <v>0</v>
      </c>
      <c r="F56" s="400">
        <f>'F&amp;V '!F67</f>
        <v>0</v>
      </c>
      <c r="G56" s="400">
        <f>'F&amp;V '!G67</f>
        <v>0</v>
      </c>
      <c r="H56" s="400">
        <f>'F&amp;V '!H67</f>
        <v>0</v>
      </c>
    </row>
    <row r="57" spans="1:8" ht="14.45" hidden="1" x14ac:dyDescent="0.35">
      <c r="A57" s="400" t="str">
        <f>'F&amp;V '!A68</f>
        <v>Custard Apple</v>
      </c>
      <c r="B57" s="400">
        <f>'F&amp;V '!B68</f>
        <v>0</v>
      </c>
      <c r="C57" s="400">
        <f>'F&amp;V '!C68</f>
        <v>0</v>
      </c>
      <c r="D57" s="400">
        <f>'F&amp;V '!D68</f>
        <v>0</v>
      </c>
      <c r="E57" s="400">
        <f>'F&amp;V '!E68</f>
        <v>0</v>
      </c>
      <c r="F57" s="400">
        <f>'F&amp;V '!F68</f>
        <v>0</v>
      </c>
      <c r="G57" s="400">
        <f>'F&amp;V '!G68</f>
        <v>0</v>
      </c>
      <c r="H57" s="400">
        <f>'F&amp;V '!H68</f>
        <v>0</v>
      </c>
    </row>
    <row r="58" spans="1:8" ht="14.45" hidden="1" x14ac:dyDescent="0.35">
      <c r="A58" s="400" t="str">
        <f>'F&amp;V '!A69</f>
        <v>Guava</v>
      </c>
      <c r="B58" s="400">
        <f>'F&amp;V '!B69</f>
        <v>0</v>
      </c>
      <c r="C58" s="400">
        <f>'F&amp;V '!C69</f>
        <v>0</v>
      </c>
      <c r="D58" s="400">
        <f>'F&amp;V '!D69</f>
        <v>0</v>
      </c>
      <c r="E58" s="400">
        <f>'F&amp;V '!E69</f>
        <v>0</v>
      </c>
      <c r="F58" s="400">
        <f>'F&amp;V '!F69</f>
        <v>0</v>
      </c>
      <c r="G58" s="400">
        <f>'F&amp;V '!G69</f>
        <v>0</v>
      </c>
      <c r="H58" s="400">
        <f>'F&amp;V '!H69</f>
        <v>0</v>
      </c>
    </row>
    <row r="59" spans="1:8" ht="14.45" hidden="1" x14ac:dyDescent="0.35">
      <c r="A59" s="400" t="str">
        <f>'F&amp;V '!A70</f>
        <v>CASHEW</v>
      </c>
      <c r="B59" s="400">
        <f>'F&amp;V '!B70</f>
        <v>0</v>
      </c>
      <c r="C59" s="400">
        <f>'F&amp;V '!C70</f>
        <v>0</v>
      </c>
      <c r="D59" s="400">
        <f>'F&amp;V '!D70</f>
        <v>0</v>
      </c>
      <c r="E59" s="400">
        <f>'F&amp;V '!E70</f>
        <v>0</v>
      </c>
      <c r="F59" s="400">
        <f>'F&amp;V '!F70</f>
        <v>0</v>
      </c>
      <c r="G59" s="400">
        <f>'F&amp;V '!G70</f>
        <v>0</v>
      </c>
      <c r="H59" s="400">
        <f>'F&amp;V '!H70</f>
        <v>0</v>
      </c>
    </row>
    <row r="60" spans="1:8" ht="14.45" hidden="1" x14ac:dyDescent="0.35">
      <c r="A60" s="400"/>
      <c r="B60" s="400"/>
      <c r="C60" s="400"/>
      <c r="D60" s="400"/>
      <c r="E60" s="400"/>
      <c r="F60" s="400"/>
      <c r="G60" s="400"/>
      <c r="H60" s="400"/>
    </row>
    <row r="61" spans="1:8" ht="14.45" hidden="1" x14ac:dyDescent="0.35">
      <c r="A61" s="347" t="s">
        <v>497</v>
      </c>
      <c r="B61" s="400">
        <f t="shared" ref="B61:H61" si="2">SUM(B35:B59)</f>
        <v>0</v>
      </c>
      <c r="C61" s="400">
        <f t="shared" si="2"/>
        <v>0</v>
      </c>
      <c r="D61" s="400">
        <f t="shared" si="2"/>
        <v>0</v>
      </c>
      <c r="E61" s="400">
        <f t="shared" si="2"/>
        <v>0</v>
      </c>
      <c r="F61" s="400">
        <f t="shared" si="2"/>
        <v>0</v>
      </c>
      <c r="G61" s="400">
        <f t="shared" si="2"/>
        <v>0</v>
      </c>
      <c r="H61" s="400">
        <f t="shared" si="2"/>
        <v>0</v>
      </c>
    </row>
    <row r="62" spans="1:8" ht="14.45" x14ac:dyDescent="0.35">
      <c r="A62" s="401" t="s">
        <v>499</v>
      </c>
      <c r="B62" s="402">
        <v>0</v>
      </c>
      <c r="C62" s="402">
        <v>0</v>
      </c>
      <c r="D62" s="402">
        <v>0</v>
      </c>
      <c r="E62" s="402">
        <v>0</v>
      </c>
      <c r="F62" s="402">
        <v>0</v>
      </c>
      <c r="G62" s="402">
        <v>0</v>
      </c>
      <c r="H62" s="402">
        <v>0</v>
      </c>
    </row>
    <row r="63" spans="1:8" ht="14.45" x14ac:dyDescent="0.35">
      <c r="A63" s="401" t="s">
        <v>500</v>
      </c>
      <c r="B63" s="402">
        <f t="shared" ref="B63:C63" si="3">1-B62</f>
        <v>1</v>
      </c>
      <c r="C63" s="402">
        <f t="shared" si="3"/>
        <v>1</v>
      </c>
      <c r="D63" s="402">
        <v>0</v>
      </c>
      <c r="E63" s="402">
        <v>0</v>
      </c>
      <c r="F63" s="402">
        <v>0</v>
      </c>
      <c r="G63" s="402">
        <v>0</v>
      </c>
      <c r="H63" s="402">
        <v>0</v>
      </c>
    </row>
    <row r="64" spans="1:8" ht="14.45" x14ac:dyDescent="0.35">
      <c r="A64" s="401"/>
      <c r="B64" s="402"/>
      <c r="C64" s="402"/>
      <c r="D64" s="402"/>
      <c r="E64" s="402"/>
      <c r="F64" s="402"/>
      <c r="G64" s="402"/>
      <c r="H64" s="402"/>
    </row>
    <row r="65" spans="1:8" ht="14.45" x14ac:dyDescent="0.35">
      <c r="A65" s="401" t="s">
        <v>1291</v>
      </c>
      <c r="B65" s="403">
        <f t="shared" ref="B65:H65" si="4">B33*B62</f>
        <v>0</v>
      </c>
      <c r="C65" s="403">
        <f t="shared" si="4"/>
        <v>0</v>
      </c>
      <c r="D65" s="403">
        <f t="shared" si="4"/>
        <v>0</v>
      </c>
      <c r="E65" s="403">
        <f t="shared" si="4"/>
        <v>0</v>
      </c>
      <c r="F65" s="403">
        <f t="shared" si="4"/>
        <v>0</v>
      </c>
      <c r="G65" s="403">
        <f t="shared" si="4"/>
        <v>0</v>
      </c>
      <c r="H65" s="403">
        <f t="shared" si="4"/>
        <v>0</v>
      </c>
    </row>
    <row r="66" spans="1:8" ht="14.45" x14ac:dyDescent="0.35">
      <c r="A66" s="347"/>
      <c r="B66" s="400"/>
      <c r="C66" s="400"/>
      <c r="D66" s="400"/>
      <c r="E66" s="400"/>
      <c r="F66" s="400"/>
      <c r="G66" s="400"/>
      <c r="H66" s="400"/>
    </row>
    <row r="67" spans="1:8" ht="14.45" x14ac:dyDescent="0.35">
      <c r="A67" s="347" t="s">
        <v>1290</v>
      </c>
      <c r="B67" s="400"/>
      <c r="C67" s="400"/>
      <c r="D67" s="400"/>
      <c r="E67" s="400"/>
      <c r="F67" s="400"/>
      <c r="G67" s="400"/>
      <c r="H67" s="400"/>
    </row>
    <row r="68" spans="1:8" ht="14.45" hidden="1" x14ac:dyDescent="0.35">
      <c r="A68" s="312" t="str">
        <f t="shared" ref="A68:A89" si="5">A11</f>
        <v>Soybean</v>
      </c>
      <c r="B68" s="404">
        <f t="shared" ref="B68:B89" si="6">B11*$B$63</f>
        <v>0</v>
      </c>
      <c r="C68" s="404">
        <f t="shared" ref="C68:C83" si="7">C11*$C$63</f>
        <v>0</v>
      </c>
      <c r="D68" s="404">
        <f t="shared" ref="D68:D83" si="8">D11*$D$63</f>
        <v>0</v>
      </c>
      <c r="E68" s="404">
        <f t="shared" ref="E68:E83" si="9">E11*$E$63</f>
        <v>0</v>
      </c>
      <c r="F68" s="404">
        <f t="shared" ref="F68:F83" si="10">F11*$F$63</f>
        <v>0</v>
      </c>
      <c r="G68" s="404">
        <f t="shared" ref="G68:G83" si="11">G11*$G$63</f>
        <v>0</v>
      </c>
      <c r="H68" s="404">
        <f t="shared" ref="H68:H83" si="12">H11*$H$63</f>
        <v>0</v>
      </c>
    </row>
    <row r="69" spans="1:8" ht="14.45" hidden="1" x14ac:dyDescent="0.35">
      <c r="A69" s="312" t="str">
        <f t="shared" si="5"/>
        <v>Red Gram/Tur</v>
      </c>
      <c r="B69" s="404">
        <f t="shared" si="6"/>
        <v>0</v>
      </c>
      <c r="C69" s="404">
        <f t="shared" si="7"/>
        <v>0</v>
      </c>
      <c r="D69" s="404">
        <f t="shared" si="8"/>
        <v>0</v>
      </c>
      <c r="E69" s="404">
        <f t="shared" si="9"/>
        <v>0</v>
      </c>
      <c r="F69" s="404">
        <f t="shared" si="10"/>
        <v>0</v>
      </c>
      <c r="G69" s="404">
        <f t="shared" si="11"/>
        <v>0</v>
      </c>
      <c r="H69" s="404">
        <f t="shared" si="12"/>
        <v>0</v>
      </c>
    </row>
    <row r="70" spans="1:8" ht="14.45" hidden="1" x14ac:dyDescent="0.35">
      <c r="A70" s="312" t="str">
        <f t="shared" si="5"/>
        <v>Paddy/Rice</v>
      </c>
      <c r="B70" s="404">
        <f t="shared" si="6"/>
        <v>0</v>
      </c>
      <c r="C70" s="404">
        <f t="shared" si="7"/>
        <v>0</v>
      </c>
      <c r="D70" s="404">
        <f t="shared" si="8"/>
        <v>0</v>
      </c>
      <c r="E70" s="404">
        <f t="shared" si="9"/>
        <v>0</v>
      </c>
      <c r="F70" s="404">
        <f t="shared" si="10"/>
        <v>0</v>
      </c>
      <c r="G70" s="404">
        <f t="shared" si="11"/>
        <v>0</v>
      </c>
      <c r="H70" s="404">
        <f t="shared" si="12"/>
        <v>0</v>
      </c>
    </row>
    <row r="71" spans="1:8" ht="14.45" hidden="1" x14ac:dyDescent="0.35">
      <c r="A71" s="312" t="str">
        <f t="shared" si="5"/>
        <v>Masoor/ Moong</v>
      </c>
      <c r="B71" s="404">
        <f t="shared" si="6"/>
        <v>0</v>
      </c>
      <c r="C71" s="404">
        <f t="shared" si="7"/>
        <v>0</v>
      </c>
      <c r="D71" s="404">
        <f t="shared" si="8"/>
        <v>0</v>
      </c>
      <c r="E71" s="404">
        <f t="shared" si="9"/>
        <v>0</v>
      </c>
      <c r="F71" s="404">
        <f t="shared" si="10"/>
        <v>0</v>
      </c>
      <c r="G71" s="404">
        <f t="shared" si="11"/>
        <v>0</v>
      </c>
      <c r="H71" s="404">
        <f t="shared" si="12"/>
        <v>0</v>
      </c>
    </row>
    <row r="72" spans="1:8" ht="14.45" hidden="1" x14ac:dyDescent="0.35">
      <c r="A72" s="312" t="str">
        <f t="shared" si="5"/>
        <v>Sweet Potato</v>
      </c>
      <c r="B72" s="404">
        <f t="shared" si="6"/>
        <v>0</v>
      </c>
      <c r="C72" s="404">
        <f t="shared" si="7"/>
        <v>0</v>
      </c>
      <c r="D72" s="404">
        <f t="shared" si="8"/>
        <v>0</v>
      </c>
      <c r="E72" s="404">
        <f t="shared" si="9"/>
        <v>0</v>
      </c>
      <c r="F72" s="404">
        <f t="shared" si="10"/>
        <v>0</v>
      </c>
      <c r="G72" s="404">
        <f t="shared" si="11"/>
        <v>0</v>
      </c>
      <c r="H72" s="404">
        <f t="shared" si="12"/>
        <v>0</v>
      </c>
    </row>
    <row r="73" spans="1:8" ht="14.45" hidden="1" x14ac:dyDescent="0.35">
      <c r="A73" s="312" t="str">
        <f t="shared" si="5"/>
        <v>Black Gram/Udid</v>
      </c>
      <c r="B73" s="404">
        <f t="shared" si="6"/>
        <v>0</v>
      </c>
      <c r="C73" s="404">
        <f t="shared" si="7"/>
        <v>0</v>
      </c>
      <c r="D73" s="404">
        <f t="shared" si="8"/>
        <v>0</v>
      </c>
      <c r="E73" s="404">
        <f t="shared" si="9"/>
        <v>0</v>
      </c>
      <c r="F73" s="404">
        <f t="shared" si="10"/>
        <v>0</v>
      </c>
      <c r="G73" s="404">
        <f t="shared" si="11"/>
        <v>0</v>
      </c>
      <c r="H73" s="404">
        <f t="shared" si="12"/>
        <v>0</v>
      </c>
    </row>
    <row r="74" spans="1:8" ht="14.45" hidden="1" x14ac:dyDescent="0.35">
      <c r="A74" s="312" t="str">
        <f t="shared" si="5"/>
        <v>RAGI</v>
      </c>
      <c r="B74" s="404">
        <f t="shared" si="6"/>
        <v>0</v>
      </c>
      <c r="C74" s="404">
        <f t="shared" si="7"/>
        <v>0</v>
      </c>
      <c r="D74" s="404">
        <f t="shared" si="8"/>
        <v>0</v>
      </c>
      <c r="E74" s="404">
        <f t="shared" si="9"/>
        <v>0</v>
      </c>
      <c r="F74" s="404">
        <f t="shared" si="10"/>
        <v>0</v>
      </c>
      <c r="G74" s="404">
        <f t="shared" si="11"/>
        <v>0</v>
      </c>
      <c r="H74" s="404">
        <f t="shared" si="12"/>
        <v>0</v>
      </c>
    </row>
    <row r="75" spans="1:8" ht="14.45" hidden="1" x14ac:dyDescent="0.35">
      <c r="A75" s="312" t="str">
        <f t="shared" si="5"/>
        <v>Jawar</v>
      </c>
      <c r="B75" s="404">
        <f t="shared" si="6"/>
        <v>0</v>
      </c>
      <c r="C75" s="404">
        <f t="shared" si="7"/>
        <v>0</v>
      </c>
      <c r="D75" s="404">
        <f t="shared" si="8"/>
        <v>0</v>
      </c>
      <c r="E75" s="404">
        <f t="shared" si="9"/>
        <v>0</v>
      </c>
      <c r="F75" s="404">
        <f t="shared" si="10"/>
        <v>0</v>
      </c>
      <c r="G75" s="404">
        <f t="shared" si="11"/>
        <v>0</v>
      </c>
      <c r="H75" s="404">
        <f t="shared" si="12"/>
        <v>0</v>
      </c>
    </row>
    <row r="76" spans="1:8" ht="14.45" hidden="1" x14ac:dyDescent="0.35">
      <c r="A76" s="312" t="str">
        <f t="shared" si="5"/>
        <v>Sunflower</v>
      </c>
      <c r="B76" s="404">
        <f t="shared" si="6"/>
        <v>0</v>
      </c>
      <c r="C76" s="404">
        <f t="shared" si="7"/>
        <v>0</v>
      </c>
      <c r="D76" s="404">
        <f t="shared" si="8"/>
        <v>0</v>
      </c>
      <c r="E76" s="404">
        <f t="shared" si="9"/>
        <v>0</v>
      </c>
      <c r="F76" s="404">
        <f t="shared" si="10"/>
        <v>0</v>
      </c>
      <c r="G76" s="404">
        <f t="shared" si="11"/>
        <v>0</v>
      </c>
      <c r="H76" s="404">
        <f t="shared" si="12"/>
        <v>0</v>
      </c>
    </row>
    <row r="77" spans="1:8" ht="14.45" hidden="1" x14ac:dyDescent="0.35">
      <c r="A77" s="312" t="str">
        <f t="shared" si="5"/>
        <v>Wheat</v>
      </c>
      <c r="B77" s="404">
        <f t="shared" si="6"/>
        <v>0</v>
      </c>
      <c r="C77" s="404">
        <f t="shared" si="7"/>
        <v>0</v>
      </c>
      <c r="D77" s="404">
        <f t="shared" si="8"/>
        <v>0</v>
      </c>
      <c r="E77" s="404">
        <f t="shared" si="9"/>
        <v>0</v>
      </c>
      <c r="F77" s="404">
        <f t="shared" si="10"/>
        <v>0</v>
      </c>
      <c r="G77" s="404">
        <f t="shared" si="11"/>
        <v>0</v>
      </c>
      <c r="H77" s="404">
        <f t="shared" si="12"/>
        <v>0</v>
      </c>
    </row>
    <row r="78" spans="1:8" ht="14.45" hidden="1" x14ac:dyDescent="0.35">
      <c r="A78" s="312" t="str">
        <f t="shared" si="5"/>
        <v>Bengal Gram/Channa</v>
      </c>
      <c r="B78" s="404">
        <f t="shared" si="6"/>
        <v>0</v>
      </c>
      <c r="C78" s="404">
        <f t="shared" si="7"/>
        <v>0</v>
      </c>
      <c r="D78" s="404">
        <f t="shared" si="8"/>
        <v>0</v>
      </c>
      <c r="E78" s="404">
        <f t="shared" si="9"/>
        <v>0</v>
      </c>
      <c r="F78" s="404">
        <f t="shared" si="10"/>
        <v>0</v>
      </c>
      <c r="G78" s="404">
        <f t="shared" si="11"/>
        <v>0</v>
      </c>
      <c r="H78" s="404">
        <f t="shared" si="12"/>
        <v>0</v>
      </c>
    </row>
    <row r="79" spans="1:8" ht="14.45" hidden="1" x14ac:dyDescent="0.35">
      <c r="A79" s="312" t="str">
        <f t="shared" si="5"/>
        <v>Jawar</v>
      </c>
      <c r="B79" s="404">
        <f t="shared" si="6"/>
        <v>0</v>
      </c>
      <c r="C79" s="404">
        <f t="shared" si="7"/>
        <v>0</v>
      </c>
      <c r="D79" s="404">
        <f t="shared" si="8"/>
        <v>0</v>
      </c>
      <c r="E79" s="404">
        <f t="shared" si="9"/>
        <v>0</v>
      </c>
      <c r="F79" s="404">
        <f t="shared" si="10"/>
        <v>0</v>
      </c>
      <c r="G79" s="404">
        <f t="shared" si="11"/>
        <v>0</v>
      </c>
      <c r="H79" s="404">
        <f t="shared" si="12"/>
        <v>0</v>
      </c>
    </row>
    <row r="80" spans="1:8" ht="14.45" hidden="1" x14ac:dyDescent="0.35">
      <c r="A80" s="312" t="str">
        <f t="shared" si="5"/>
        <v>Sweet Potato</v>
      </c>
      <c r="B80" s="404">
        <f t="shared" si="6"/>
        <v>0</v>
      </c>
      <c r="C80" s="404">
        <f t="shared" si="7"/>
        <v>0</v>
      </c>
      <c r="D80" s="404">
        <f t="shared" si="8"/>
        <v>0</v>
      </c>
      <c r="E80" s="404">
        <f t="shared" si="9"/>
        <v>0</v>
      </c>
      <c r="F80" s="404">
        <f t="shared" si="10"/>
        <v>0</v>
      </c>
      <c r="G80" s="404">
        <f t="shared" si="11"/>
        <v>0</v>
      </c>
      <c r="H80" s="404">
        <f t="shared" si="12"/>
        <v>0</v>
      </c>
    </row>
    <row r="81" spans="1:12" ht="14.45" hidden="1" x14ac:dyDescent="0.35">
      <c r="A81" s="312" t="str">
        <f t="shared" si="5"/>
        <v>Safflower</v>
      </c>
      <c r="B81" s="404">
        <f t="shared" si="6"/>
        <v>0</v>
      </c>
      <c r="C81" s="404">
        <f t="shared" si="7"/>
        <v>0</v>
      </c>
      <c r="D81" s="404">
        <f t="shared" si="8"/>
        <v>0</v>
      </c>
      <c r="E81" s="404">
        <f t="shared" si="9"/>
        <v>0</v>
      </c>
      <c r="F81" s="404">
        <f t="shared" si="10"/>
        <v>0</v>
      </c>
      <c r="G81" s="404">
        <f t="shared" si="11"/>
        <v>0</v>
      </c>
      <c r="H81" s="404">
        <f t="shared" si="12"/>
        <v>0</v>
      </c>
    </row>
    <row r="82" spans="1:12" ht="14.45" hidden="1" x14ac:dyDescent="0.35">
      <c r="A82" s="312">
        <f t="shared" si="5"/>
        <v>0</v>
      </c>
      <c r="B82" s="404">
        <f t="shared" si="6"/>
        <v>0</v>
      </c>
      <c r="C82" s="404">
        <f t="shared" si="7"/>
        <v>0</v>
      </c>
      <c r="D82" s="404">
        <f t="shared" si="8"/>
        <v>0</v>
      </c>
      <c r="E82" s="404">
        <f t="shared" si="9"/>
        <v>0</v>
      </c>
      <c r="F82" s="404">
        <f t="shared" si="10"/>
        <v>0</v>
      </c>
      <c r="G82" s="404">
        <f t="shared" si="11"/>
        <v>0</v>
      </c>
      <c r="H82" s="404">
        <f t="shared" si="12"/>
        <v>0</v>
      </c>
    </row>
    <row r="83" spans="1:12" ht="14.45" hidden="1" x14ac:dyDescent="0.35">
      <c r="A83" s="312">
        <f t="shared" si="5"/>
        <v>0</v>
      </c>
      <c r="B83" s="404">
        <f t="shared" si="6"/>
        <v>0</v>
      </c>
      <c r="C83" s="404">
        <f t="shared" si="7"/>
        <v>0</v>
      </c>
      <c r="D83" s="404">
        <f t="shared" si="8"/>
        <v>0</v>
      </c>
      <c r="E83" s="404">
        <f t="shared" si="9"/>
        <v>0</v>
      </c>
      <c r="F83" s="404">
        <f t="shared" si="10"/>
        <v>0</v>
      </c>
      <c r="G83" s="404">
        <f t="shared" si="11"/>
        <v>0</v>
      </c>
      <c r="H83" s="404">
        <f t="shared" si="12"/>
        <v>0</v>
      </c>
    </row>
    <row r="84" spans="1:12" ht="14.45" hidden="1" x14ac:dyDescent="0.35">
      <c r="A84" s="312">
        <f t="shared" si="5"/>
        <v>0</v>
      </c>
      <c r="B84" s="404">
        <f t="shared" si="6"/>
        <v>0</v>
      </c>
      <c r="C84" s="404">
        <f t="shared" ref="C84:H89" si="13">C27*$B$63</f>
        <v>0</v>
      </c>
      <c r="D84" s="404">
        <f t="shared" si="13"/>
        <v>0</v>
      </c>
      <c r="E84" s="404">
        <f t="shared" si="13"/>
        <v>0</v>
      </c>
      <c r="F84" s="404">
        <f t="shared" si="13"/>
        <v>0</v>
      </c>
      <c r="G84" s="404">
        <f t="shared" si="13"/>
        <v>0</v>
      </c>
      <c r="H84" s="404">
        <f t="shared" si="13"/>
        <v>0</v>
      </c>
    </row>
    <row r="85" spans="1:12" ht="14.45" hidden="1" x14ac:dyDescent="0.35">
      <c r="A85" s="312" t="str">
        <f t="shared" si="5"/>
        <v>Groundnut</v>
      </c>
      <c r="B85" s="404">
        <f t="shared" si="6"/>
        <v>0</v>
      </c>
      <c r="C85" s="404">
        <f t="shared" si="13"/>
        <v>0</v>
      </c>
      <c r="D85" s="404">
        <f t="shared" si="13"/>
        <v>0</v>
      </c>
      <c r="E85" s="404">
        <f t="shared" si="13"/>
        <v>0</v>
      </c>
      <c r="F85" s="404">
        <f t="shared" si="13"/>
        <v>0</v>
      </c>
      <c r="G85" s="404">
        <f t="shared" si="13"/>
        <v>0</v>
      </c>
      <c r="H85" s="404">
        <f t="shared" si="13"/>
        <v>0</v>
      </c>
    </row>
    <row r="86" spans="1:12" ht="14.45" x14ac:dyDescent="0.35">
      <c r="A86" s="312" t="str">
        <f t="shared" si="5"/>
        <v>RAGI</v>
      </c>
      <c r="B86" s="404">
        <f t="shared" si="6"/>
        <v>7702.8019200000017</v>
      </c>
      <c r="C86" s="404">
        <f t="shared" si="13"/>
        <v>8344.7020800000028</v>
      </c>
      <c r="D86" s="404">
        <f t="shared" si="13"/>
        <v>8986.602240000002</v>
      </c>
      <c r="E86" s="404">
        <f t="shared" si="13"/>
        <v>9628.502400000003</v>
      </c>
      <c r="F86" s="404">
        <f t="shared" si="13"/>
        <v>10270.402560000004</v>
      </c>
      <c r="G86" s="404">
        <f t="shared" si="13"/>
        <v>10912.302720000005</v>
      </c>
      <c r="H86" s="404">
        <f t="shared" si="13"/>
        <v>11554.202880000006</v>
      </c>
    </row>
    <row r="87" spans="1:12" ht="14.45" hidden="1" x14ac:dyDescent="0.35">
      <c r="A87" s="312">
        <f t="shared" si="5"/>
        <v>0</v>
      </c>
      <c r="B87" s="404">
        <f t="shared" si="6"/>
        <v>0</v>
      </c>
      <c r="C87" s="404">
        <f t="shared" si="13"/>
        <v>0</v>
      </c>
      <c r="D87" s="404">
        <f t="shared" si="13"/>
        <v>0</v>
      </c>
      <c r="E87" s="404">
        <f t="shared" si="13"/>
        <v>0</v>
      </c>
      <c r="F87" s="404">
        <f t="shared" si="13"/>
        <v>0</v>
      </c>
      <c r="G87" s="404">
        <f t="shared" si="13"/>
        <v>0</v>
      </c>
      <c r="H87" s="404">
        <f t="shared" si="13"/>
        <v>0</v>
      </c>
    </row>
    <row r="88" spans="1:12" ht="14.45" hidden="1" x14ac:dyDescent="0.35">
      <c r="A88" s="312">
        <f t="shared" si="5"/>
        <v>0</v>
      </c>
      <c r="B88" s="404">
        <f t="shared" si="6"/>
        <v>0</v>
      </c>
      <c r="C88" s="404">
        <f t="shared" si="13"/>
        <v>0</v>
      </c>
      <c r="D88" s="404">
        <f t="shared" si="13"/>
        <v>0</v>
      </c>
      <c r="E88" s="404">
        <f t="shared" si="13"/>
        <v>0</v>
      </c>
      <c r="F88" s="404">
        <f t="shared" si="13"/>
        <v>0</v>
      </c>
      <c r="G88" s="404">
        <f t="shared" si="13"/>
        <v>0</v>
      </c>
      <c r="H88" s="404">
        <f t="shared" si="13"/>
        <v>0</v>
      </c>
    </row>
    <row r="89" spans="1:12" ht="14.45" hidden="1" x14ac:dyDescent="0.35">
      <c r="A89" s="312">
        <f t="shared" si="5"/>
        <v>0</v>
      </c>
      <c r="B89" s="404">
        <f t="shared" si="6"/>
        <v>0</v>
      </c>
      <c r="C89" s="404">
        <f t="shared" si="13"/>
        <v>0</v>
      </c>
      <c r="D89" s="404">
        <f t="shared" si="13"/>
        <v>0</v>
      </c>
      <c r="E89" s="404">
        <f t="shared" si="13"/>
        <v>0</v>
      </c>
      <c r="F89" s="404">
        <f t="shared" si="13"/>
        <v>0</v>
      </c>
      <c r="G89" s="404">
        <f t="shared" si="13"/>
        <v>0</v>
      </c>
      <c r="H89" s="404">
        <f t="shared" si="13"/>
        <v>0</v>
      </c>
    </row>
    <row r="90" spans="1:12" ht="14.45" hidden="1" x14ac:dyDescent="0.35">
      <c r="A90" s="312"/>
      <c r="B90" s="404"/>
      <c r="C90" s="404"/>
      <c r="D90" s="404"/>
      <c r="E90" s="404"/>
      <c r="F90" s="404"/>
      <c r="G90" s="404"/>
      <c r="H90" s="404"/>
      <c r="J90" s="405"/>
      <c r="K90" s="405"/>
      <c r="L90" s="405"/>
    </row>
    <row r="91" spans="1:12" ht="14.45" hidden="1" x14ac:dyDescent="0.35">
      <c r="A91" s="312" t="str">
        <f t="shared" ref="A91:A109" si="14">A34</f>
        <v>Fruit  &amp; Vegetables Crop Production Details</v>
      </c>
      <c r="B91" s="404"/>
      <c r="C91" s="404"/>
      <c r="D91" s="404"/>
      <c r="E91" s="404"/>
      <c r="F91" s="404"/>
      <c r="G91" s="404"/>
      <c r="H91" s="404"/>
      <c r="J91" s="405"/>
      <c r="K91" s="405"/>
      <c r="L91" s="405"/>
    </row>
    <row r="92" spans="1:12" ht="14.45" hidden="1" x14ac:dyDescent="0.35">
      <c r="A92" s="312" t="str">
        <f t="shared" si="14"/>
        <v>Onion</v>
      </c>
      <c r="B92" s="404">
        <f t="shared" ref="B92:H101" si="15">B35</f>
        <v>0</v>
      </c>
      <c r="C92" s="404">
        <f t="shared" si="15"/>
        <v>0</v>
      </c>
      <c r="D92" s="404">
        <f t="shared" si="15"/>
        <v>0</v>
      </c>
      <c r="E92" s="404">
        <f t="shared" si="15"/>
        <v>0</v>
      </c>
      <c r="F92" s="404">
        <f t="shared" si="15"/>
        <v>0</v>
      </c>
      <c r="G92" s="404">
        <f t="shared" si="15"/>
        <v>0</v>
      </c>
      <c r="H92" s="404">
        <f t="shared" si="15"/>
        <v>0</v>
      </c>
      <c r="J92" s="405"/>
      <c r="K92" s="405"/>
      <c r="L92" s="405"/>
    </row>
    <row r="93" spans="1:12" ht="14.45" hidden="1" x14ac:dyDescent="0.35">
      <c r="A93" s="312" t="str">
        <f t="shared" si="14"/>
        <v>Tomato</v>
      </c>
      <c r="B93" s="404">
        <f t="shared" si="15"/>
        <v>0</v>
      </c>
      <c r="C93" s="404">
        <f t="shared" si="15"/>
        <v>0</v>
      </c>
      <c r="D93" s="404">
        <f t="shared" si="15"/>
        <v>0</v>
      </c>
      <c r="E93" s="404">
        <f t="shared" si="15"/>
        <v>0</v>
      </c>
      <c r="F93" s="404">
        <f t="shared" si="15"/>
        <v>0</v>
      </c>
      <c r="G93" s="404">
        <f t="shared" si="15"/>
        <v>0</v>
      </c>
      <c r="H93" s="404">
        <f t="shared" si="15"/>
        <v>0</v>
      </c>
      <c r="J93" s="405"/>
      <c r="K93" s="405"/>
      <c r="L93" s="405"/>
    </row>
    <row r="94" spans="1:12" ht="14.45" hidden="1" x14ac:dyDescent="0.35">
      <c r="A94" s="312" t="str">
        <f t="shared" si="14"/>
        <v>Okra</v>
      </c>
      <c r="B94" s="404">
        <f t="shared" si="15"/>
        <v>0</v>
      </c>
      <c r="C94" s="404">
        <f t="shared" si="15"/>
        <v>0</v>
      </c>
      <c r="D94" s="404">
        <f t="shared" si="15"/>
        <v>0</v>
      </c>
      <c r="E94" s="404">
        <f t="shared" si="15"/>
        <v>0</v>
      </c>
      <c r="F94" s="404">
        <f t="shared" si="15"/>
        <v>0</v>
      </c>
      <c r="G94" s="404">
        <f t="shared" si="15"/>
        <v>0</v>
      </c>
      <c r="H94" s="404">
        <f t="shared" si="15"/>
        <v>0</v>
      </c>
      <c r="J94" s="405"/>
      <c r="K94" s="405"/>
      <c r="L94" s="405"/>
    </row>
    <row r="95" spans="1:12" ht="14.45" hidden="1" x14ac:dyDescent="0.35">
      <c r="A95" s="312" t="str">
        <f t="shared" si="14"/>
        <v>Chilli</v>
      </c>
      <c r="B95" s="404">
        <f t="shared" si="15"/>
        <v>0</v>
      </c>
      <c r="C95" s="404">
        <f t="shared" si="15"/>
        <v>0</v>
      </c>
      <c r="D95" s="404">
        <f t="shared" si="15"/>
        <v>0</v>
      </c>
      <c r="E95" s="404">
        <f t="shared" si="15"/>
        <v>0</v>
      </c>
      <c r="F95" s="404">
        <f t="shared" si="15"/>
        <v>0</v>
      </c>
      <c r="G95" s="404">
        <f t="shared" si="15"/>
        <v>0</v>
      </c>
      <c r="H95" s="404">
        <f t="shared" si="15"/>
        <v>0</v>
      </c>
      <c r="J95" s="405"/>
      <c r="K95" s="405"/>
      <c r="L95" s="405"/>
    </row>
    <row r="96" spans="1:12" ht="14.45" hidden="1" x14ac:dyDescent="0.35">
      <c r="A96" s="312" t="str">
        <f t="shared" si="14"/>
        <v>Potato</v>
      </c>
      <c r="B96" s="404">
        <f t="shared" si="15"/>
        <v>0</v>
      </c>
      <c r="C96" s="404">
        <f t="shared" si="15"/>
        <v>0</v>
      </c>
      <c r="D96" s="404">
        <f t="shared" si="15"/>
        <v>0</v>
      </c>
      <c r="E96" s="404">
        <f t="shared" si="15"/>
        <v>0</v>
      </c>
      <c r="F96" s="404">
        <f t="shared" si="15"/>
        <v>0</v>
      </c>
      <c r="G96" s="404">
        <f t="shared" si="15"/>
        <v>0</v>
      </c>
      <c r="H96" s="404">
        <f t="shared" si="15"/>
        <v>0</v>
      </c>
      <c r="J96" s="405"/>
      <c r="K96" s="405"/>
      <c r="L96" s="405"/>
    </row>
    <row r="97" spans="1:12" ht="14.45" hidden="1" x14ac:dyDescent="0.35">
      <c r="A97" s="312" t="str">
        <f t="shared" si="14"/>
        <v>SWEET POTATO</v>
      </c>
      <c r="B97" s="404">
        <f t="shared" si="15"/>
        <v>0</v>
      </c>
      <c r="C97" s="404">
        <f t="shared" si="15"/>
        <v>0</v>
      </c>
      <c r="D97" s="404">
        <f t="shared" si="15"/>
        <v>0</v>
      </c>
      <c r="E97" s="404">
        <f t="shared" si="15"/>
        <v>0</v>
      </c>
      <c r="F97" s="404">
        <f t="shared" si="15"/>
        <v>0</v>
      </c>
      <c r="G97" s="404">
        <f t="shared" si="15"/>
        <v>0</v>
      </c>
      <c r="H97" s="404">
        <f t="shared" si="15"/>
        <v>0</v>
      </c>
      <c r="J97" s="405"/>
      <c r="K97" s="405"/>
      <c r="L97" s="405"/>
    </row>
    <row r="98" spans="1:12" ht="14.45" hidden="1" x14ac:dyDescent="0.35">
      <c r="A98" s="312">
        <f t="shared" si="14"/>
        <v>0</v>
      </c>
      <c r="B98" s="404">
        <f t="shared" si="15"/>
        <v>0</v>
      </c>
      <c r="C98" s="404">
        <f t="shared" si="15"/>
        <v>0</v>
      </c>
      <c r="D98" s="404">
        <f t="shared" si="15"/>
        <v>0</v>
      </c>
      <c r="E98" s="404">
        <f t="shared" si="15"/>
        <v>0</v>
      </c>
      <c r="F98" s="404">
        <f t="shared" si="15"/>
        <v>0</v>
      </c>
      <c r="G98" s="404">
        <f t="shared" si="15"/>
        <v>0</v>
      </c>
      <c r="H98" s="404">
        <f t="shared" si="15"/>
        <v>0</v>
      </c>
      <c r="J98" s="405"/>
      <c r="K98" s="405"/>
      <c r="L98" s="405"/>
    </row>
    <row r="99" spans="1:12" ht="14.45" hidden="1" x14ac:dyDescent="0.35">
      <c r="A99" s="312">
        <f t="shared" si="14"/>
        <v>0</v>
      </c>
      <c r="B99" s="404">
        <f t="shared" si="15"/>
        <v>0</v>
      </c>
      <c r="C99" s="404">
        <f t="shared" si="15"/>
        <v>0</v>
      </c>
      <c r="D99" s="404">
        <f t="shared" si="15"/>
        <v>0</v>
      </c>
      <c r="E99" s="404">
        <f t="shared" si="15"/>
        <v>0</v>
      </c>
      <c r="F99" s="404">
        <f t="shared" si="15"/>
        <v>0</v>
      </c>
      <c r="G99" s="404">
        <f t="shared" si="15"/>
        <v>0</v>
      </c>
      <c r="H99" s="404">
        <f t="shared" si="15"/>
        <v>0</v>
      </c>
      <c r="J99" s="405"/>
      <c r="K99" s="405"/>
      <c r="L99" s="405"/>
    </row>
    <row r="100" spans="1:12" ht="14.45" hidden="1" x14ac:dyDescent="0.35">
      <c r="A100" s="312">
        <f t="shared" si="14"/>
        <v>0</v>
      </c>
      <c r="B100" s="404">
        <f t="shared" si="15"/>
        <v>0</v>
      </c>
      <c r="C100" s="404">
        <f t="shared" si="15"/>
        <v>0</v>
      </c>
      <c r="D100" s="404">
        <f t="shared" si="15"/>
        <v>0</v>
      </c>
      <c r="E100" s="404">
        <f t="shared" si="15"/>
        <v>0</v>
      </c>
      <c r="F100" s="404">
        <f t="shared" si="15"/>
        <v>0</v>
      </c>
      <c r="G100" s="404">
        <f t="shared" si="15"/>
        <v>0</v>
      </c>
      <c r="H100" s="404">
        <f t="shared" si="15"/>
        <v>0</v>
      </c>
      <c r="J100" s="405"/>
      <c r="K100" s="405"/>
      <c r="L100" s="405"/>
    </row>
    <row r="101" spans="1:12" ht="14.45" hidden="1" x14ac:dyDescent="0.35">
      <c r="A101" s="312" t="str">
        <f t="shared" si="14"/>
        <v>Onion</v>
      </c>
      <c r="B101" s="404">
        <f t="shared" si="15"/>
        <v>0</v>
      </c>
      <c r="C101" s="404">
        <f t="shared" si="15"/>
        <v>0</v>
      </c>
      <c r="D101" s="404">
        <f t="shared" si="15"/>
        <v>0</v>
      </c>
      <c r="E101" s="404">
        <f t="shared" si="15"/>
        <v>0</v>
      </c>
      <c r="F101" s="404">
        <f t="shared" si="15"/>
        <v>0</v>
      </c>
      <c r="G101" s="404">
        <f t="shared" si="15"/>
        <v>0</v>
      </c>
      <c r="H101" s="404">
        <f t="shared" si="15"/>
        <v>0</v>
      </c>
      <c r="J101" s="405"/>
      <c r="K101" s="405"/>
      <c r="L101" s="405"/>
    </row>
    <row r="102" spans="1:12" ht="14.45" hidden="1" x14ac:dyDescent="0.35">
      <c r="A102" s="312" t="str">
        <f t="shared" si="14"/>
        <v>Tomato</v>
      </c>
      <c r="B102" s="404">
        <f t="shared" ref="B102:H109" si="16">B45</f>
        <v>0</v>
      </c>
      <c r="C102" s="404">
        <f t="shared" si="16"/>
        <v>0</v>
      </c>
      <c r="D102" s="404">
        <f t="shared" si="16"/>
        <v>0</v>
      </c>
      <c r="E102" s="404">
        <f t="shared" si="16"/>
        <v>0</v>
      </c>
      <c r="F102" s="404">
        <f t="shared" si="16"/>
        <v>0</v>
      </c>
      <c r="G102" s="404">
        <f t="shared" si="16"/>
        <v>0</v>
      </c>
      <c r="H102" s="404">
        <f t="shared" si="16"/>
        <v>0</v>
      </c>
      <c r="J102" s="405"/>
      <c r="K102" s="405"/>
      <c r="L102" s="405"/>
    </row>
    <row r="103" spans="1:12" ht="14.45" hidden="1" x14ac:dyDescent="0.35">
      <c r="A103" s="312" t="str">
        <f t="shared" si="14"/>
        <v>Okra</v>
      </c>
      <c r="B103" s="404">
        <f t="shared" si="16"/>
        <v>0</v>
      </c>
      <c r="C103" s="404">
        <f t="shared" si="16"/>
        <v>0</v>
      </c>
      <c r="D103" s="404">
        <f t="shared" si="16"/>
        <v>0</v>
      </c>
      <c r="E103" s="404">
        <f t="shared" si="16"/>
        <v>0</v>
      </c>
      <c r="F103" s="404">
        <f t="shared" si="16"/>
        <v>0</v>
      </c>
      <c r="G103" s="404">
        <f t="shared" si="16"/>
        <v>0</v>
      </c>
      <c r="H103" s="404">
        <f t="shared" si="16"/>
        <v>0</v>
      </c>
      <c r="J103" s="405"/>
      <c r="K103" s="405"/>
      <c r="L103" s="405"/>
    </row>
    <row r="104" spans="1:12" ht="14.45" hidden="1" x14ac:dyDescent="0.35">
      <c r="A104" s="312" t="str">
        <f t="shared" si="14"/>
        <v>Chilli</v>
      </c>
      <c r="B104" s="404">
        <f t="shared" si="16"/>
        <v>0</v>
      </c>
      <c r="C104" s="404">
        <f t="shared" si="16"/>
        <v>0</v>
      </c>
      <c r="D104" s="404">
        <f t="shared" si="16"/>
        <v>0</v>
      </c>
      <c r="E104" s="404">
        <f t="shared" si="16"/>
        <v>0</v>
      </c>
      <c r="F104" s="404">
        <f t="shared" si="16"/>
        <v>0</v>
      </c>
      <c r="G104" s="404">
        <f t="shared" si="16"/>
        <v>0</v>
      </c>
      <c r="H104" s="404">
        <f t="shared" si="16"/>
        <v>0</v>
      </c>
      <c r="J104" s="405"/>
      <c r="K104" s="405"/>
      <c r="L104" s="405"/>
    </row>
    <row r="105" spans="1:12" ht="14.45" hidden="1" x14ac:dyDescent="0.35">
      <c r="A105" s="312" t="str">
        <f t="shared" si="14"/>
        <v>Potato</v>
      </c>
      <c r="B105" s="404">
        <f t="shared" si="16"/>
        <v>0</v>
      </c>
      <c r="C105" s="404">
        <f t="shared" si="16"/>
        <v>0</v>
      </c>
      <c r="D105" s="404">
        <f t="shared" si="16"/>
        <v>0</v>
      </c>
      <c r="E105" s="404">
        <f t="shared" si="16"/>
        <v>0</v>
      </c>
      <c r="F105" s="404">
        <f t="shared" si="16"/>
        <v>0</v>
      </c>
      <c r="G105" s="404">
        <f t="shared" si="16"/>
        <v>0</v>
      </c>
      <c r="H105" s="404">
        <f t="shared" si="16"/>
        <v>0</v>
      </c>
      <c r="J105" s="405"/>
      <c r="K105" s="405"/>
      <c r="L105" s="405"/>
    </row>
    <row r="106" spans="1:12" ht="14.45" hidden="1" x14ac:dyDescent="0.35">
      <c r="A106" s="312" t="str">
        <f t="shared" si="14"/>
        <v>SWEET POTATO</v>
      </c>
      <c r="B106" s="404">
        <f t="shared" si="16"/>
        <v>0</v>
      </c>
      <c r="C106" s="404">
        <f t="shared" si="16"/>
        <v>0</v>
      </c>
      <c r="D106" s="404">
        <f t="shared" si="16"/>
        <v>0</v>
      </c>
      <c r="E106" s="404">
        <f t="shared" si="16"/>
        <v>0</v>
      </c>
      <c r="F106" s="404">
        <f t="shared" si="16"/>
        <v>0</v>
      </c>
      <c r="G106" s="404">
        <f t="shared" si="16"/>
        <v>0</v>
      </c>
      <c r="H106" s="404">
        <f t="shared" si="16"/>
        <v>0</v>
      </c>
      <c r="J106" s="405"/>
      <c r="K106" s="405"/>
      <c r="L106" s="405"/>
    </row>
    <row r="107" spans="1:12" ht="14.45" hidden="1" x14ac:dyDescent="0.35">
      <c r="A107" s="312">
        <f t="shared" si="14"/>
        <v>0</v>
      </c>
      <c r="B107" s="404">
        <f t="shared" si="16"/>
        <v>0</v>
      </c>
      <c r="C107" s="404">
        <f t="shared" si="16"/>
        <v>0</v>
      </c>
      <c r="D107" s="404">
        <f t="shared" si="16"/>
        <v>0</v>
      </c>
      <c r="E107" s="404">
        <f t="shared" si="16"/>
        <v>0</v>
      </c>
      <c r="F107" s="404">
        <f t="shared" si="16"/>
        <v>0</v>
      </c>
      <c r="G107" s="404">
        <f t="shared" si="16"/>
        <v>0</v>
      </c>
      <c r="H107" s="404">
        <f t="shared" si="16"/>
        <v>0</v>
      </c>
      <c r="J107" s="405"/>
      <c r="K107" s="405"/>
      <c r="L107" s="405"/>
    </row>
    <row r="108" spans="1:12" ht="14.45" hidden="1" x14ac:dyDescent="0.35">
      <c r="A108" s="312">
        <f t="shared" si="14"/>
        <v>0</v>
      </c>
      <c r="B108" s="404">
        <f t="shared" si="16"/>
        <v>0</v>
      </c>
      <c r="C108" s="404">
        <f t="shared" si="16"/>
        <v>0</v>
      </c>
      <c r="D108" s="404">
        <f t="shared" si="16"/>
        <v>0</v>
      </c>
      <c r="E108" s="404">
        <f t="shared" si="16"/>
        <v>0</v>
      </c>
      <c r="F108" s="404">
        <f t="shared" si="16"/>
        <v>0</v>
      </c>
      <c r="G108" s="404">
        <f t="shared" si="16"/>
        <v>0</v>
      </c>
      <c r="H108" s="404">
        <f t="shared" si="16"/>
        <v>0</v>
      </c>
      <c r="J108" s="405"/>
      <c r="K108" s="405"/>
      <c r="L108" s="405"/>
    </row>
    <row r="109" spans="1:12" ht="14.45" hidden="1" x14ac:dyDescent="0.35">
      <c r="A109" s="312">
        <f t="shared" si="14"/>
        <v>0</v>
      </c>
      <c r="B109" s="404">
        <f t="shared" si="16"/>
        <v>0</v>
      </c>
      <c r="C109" s="404">
        <f t="shared" si="16"/>
        <v>0</v>
      </c>
      <c r="D109" s="404">
        <f t="shared" si="16"/>
        <v>0</v>
      </c>
      <c r="E109" s="404">
        <f t="shared" si="16"/>
        <v>0</v>
      </c>
      <c r="F109" s="404">
        <f t="shared" si="16"/>
        <v>0</v>
      </c>
      <c r="G109" s="404">
        <f t="shared" si="16"/>
        <v>0</v>
      </c>
      <c r="H109" s="404">
        <f t="shared" si="16"/>
        <v>0</v>
      </c>
      <c r="J109" s="405"/>
      <c r="K109" s="405"/>
      <c r="L109" s="405"/>
    </row>
    <row r="110" spans="1:12" ht="14.45" hidden="1" x14ac:dyDescent="0.35">
      <c r="A110" s="312">
        <f t="shared" ref="A110:A113" si="17">A53</f>
        <v>0</v>
      </c>
      <c r="B110" s="404"/>
      <c r="C110" s="404"/>
      <c r="D110" s="404"/>
      <c r="E110" s="404"/>
      <c r="F110" s="404"/>
      <c r="G110" s="404"/>
      <c r="H110" s="404"/>
      <c r="J110" s="405"/>
      <c r="K110" s="405"/>
      <c r="L110" s="405"/>
    </row>
    <row r="111" spans="1:12" ht="14.45" hidden="1" x14ac:dyDescent="0.35">
      <c r="A111" s="312">
        <f t="shared" si="17"/>
        <v>0</v>
      </c>
      <c r="B111" s="404"/>
      <c r="C111" s="404"/>
      <c r="D111" s="404"/>
      <c r="E111" s="404"/>
      <c r="F111" s="404"/>
      <c r="G111" s="404"/>
      <c r="H111" s="404"/>
      <c r="J111" s="405"/>
      <c r="K111" s="405"/>
      <c r="L111" s="405"/>
    </row>
    <row r="112" spans="1:12" ht="14.45" hidden="1" x14ac:dyDescent="0.35">
      <c r="A112" s="312">
        <f t="shared" si="17"/>
        <v>0</v>
      </c>
      <c r="B112" s="404"/>
      <c r="C112" s="404"/>
      <c r="D112" s="404"/>
      <c r="E112" s="404"/>
      <c r="F112" s="404"/>
      <c r="G112" s="404"/>
      <c r="H112" s="404"/>
      <c r="J112" s="405"/>
      <c r="K112" s="405"/>
      <c r="L112" s="405"/>
    </row>
    <row r="113" spans="1:12" ht="14.45" hidden="1" x14ac:dyDescent="0.35">
      <c r="A113" s="312" t="str">
        <f t="shared" si="17"/>
        <v>Pomegranate</v>
      </c>
      <c r="B113" s="404">
        <f t="shared" ref="B113:H116" si="18">B56</f>
        <v>0</v>
      </c>
      <c r="C113" s="404">
        <f t="shared" si="18"/>
        <v>0</v>
      </c>
      <c r="D113" s="404">
        <f t="shared" si="18"/>
        <v>0</v>
      </c>
      <c r="E113" s="404">
        <f t="shared" si="18"/>
        <v>0</v>
      </c>
      <c r="F113" s="404">
        <f t="shared" si="18"/>
        <v>0</v>
      </c>
      <c r="G113" s="404">
        <f t="shared" si="18"/>
        <v>0</v>
      </c>
      <c r="H113" s="404">
        <f t="shared" si="18"/>
        <v>0</v>
      </c>
      <c r="J113" s="405"/>
      <c r="K113" s="405"/>
      <c r="L113" s="405"/>
    </row>
    <row r="114" spans="1:12" ht="14.45" hidden="1" x14ac:dyDescent="0.35">
      <c r="A114" s="312" t="str">
        <f>A57</f>
        <v>Custard Apple</v>
      </c>
      <c r="B114" s="404">
        <f t="shared" si="18"/>
        <v>0</v>
      </c>
      <c r="C114" s="404">
        <f t="shared" si="18"/>
        <v>0</v>
      </c>
      <c r="D114" s="404">
        <f t="shared" si="18"/>
        <v>0</v>
      </c>
      <c r="E114" s="404">
        <f t="shared" si="18"/>
        <v>0</v>
      </c>
      <c r="F114" s="404">
        <f t="shared" si="18"/>
        <v>0</v>
      </c>
      <c r="G114" s="404">
        <f t="shared" si="18"/>
        <v>0</v>
      </c>
      <c r="H114" s="404">
        <f t="shared" si="18"/>
        <v>0</v>
      </c>
      <c r="J114" s="405"/>
      <c r="K114" s="405"/>
      <c r="L114" s="405"/>
    </row>
    <row r="115" spans="1:12" ht="14.45" hidden="1" x14ac:dyDescent="0.35">
      <c r="A115" s="312" t="str">
        <f>A58</f>
        <v>Guava</v>
      </c>
      <c r="B115" s="404">
        <f t="shared" si="18"/>
        <v>0</v>
      </c>
      <c r="C115" s="404">
        <f t="shared" si="18"/>
        <v>0</v>
      </c>
      <c r="D115" s="404">
        <f t="shared" si="18"/>
        <v>0</v>
      </c>
      <c r="E115" s="404">
        <f t="shared" si="18"/>
        <v>0</v>
      </c>
      <c r="F115" s="404">
        <f t="shared" si="18"/>
        <v>0</v>
      </c>
      <c r="G115" s="404">
        <f t="shared" si="18"/>
        <v>0</v>
      </c>
      <c r="H115" s="404">
        <f t="shared" si="18"/>
        <v>0</v>
      </c>
      <c r="J115" s="405"/>
      <c r="K115" s="405"/>
      <c r="L115" s="405"/>
    </row>
    <row r="116" spans="1:12" ht="14.45" hidden="1" x14ac:dyDescent="0.35">
      <c r="A116" s="312" t="str">
        <f>A59</f>
        <v>CASHEW</v>
      </c>
      <c r="B116" s="404">
        <f t="shared" si="18"/>
        <v>0</v>
      </c>
      <c r="C116" s="404">
        <f t="shared" si="18"/>
        <v>0</v>
      </c>
      <c r="D116" s="404">
        <f t="shared" si="18"/>
        <v>0</v>
      </c>
      <c r="E116" s="404">
        <f t="shared" si="18"/>
        <v>0</v>
      </c>
      <c r="F116" s="404">
        <f t="shared" si="18"/>
        <v>0</v>
      </c>
      <c r="G116" s="404">
        <f t="shared" si="18"/>
        <v>0</v>
      </c>
      <c r="H116" s="404">
        <f t="shared" si="18"/>
        <v>0</v>
      </c>
      <c r="J116" s="405"/>
      <c r="K116" s="405"/>
      <c r="L116" s="405"/>
    </row>
    <row r="117" spans="1:12" ht="14.45" hidden="1" x14ac:dyDescent="0.35">
      <c r="A117" s="312"/>
      <c r="B117" s="404"/>
      <c r="C117" s="404"/>
      <c r="D117" s="404"/>
      <c r="E117" s="404"/>
      <c r="F117" s="404"/>
      <c r="G117" s="404"/>
      <c r="H117" s="404"/>
      <c r="J117" s="405"/>
      <c r="K117" s="405"/>
      <c r="L117" s="405"/>
    </row>
    <row r="118" spans="1:12" ht="14.45" hidden="1" x14ac:dyDescent="0.35">
      <c r="A118" s="312"/>
      <c r="B118" s="404"/>
      <c r="C118" s="404"/>
      <c r="D118" s="404"/>
      <c r="E118" s="404"/>
      <c r="F118" s="404"/>
      <c r="G118" s="404"/>
      <c r="H118" s="404"/>
      <c r="J118" s="405"/>
      <c r="K118" s="405"/>
      <c r="L118" s="405"/>
    </row>
    <row r="119" spans="1:12" ht="14.45" x14ac:dyDescent="0.35">
      <c r="A119" s="366" t="s">
        <v>136</v>
      </c>
      <c r="B119" s="312"/>
      <c r="C119" s="312"/>
      <c r="D119" s="312"/>
      <c r="E119" s="312"/>
      <c r="F119" s="312"/>
      <c r="G119" s="312"/>
      <c r="H119" s="312"/>
    </row>
    <row r="120" spans="1:12" ht="14.45" hidden="1" x14ac:dyDescent="0.35">
      <c r="A120" s="360" t="str">
        <f t="shared" ref="A120:A141" si="19">A68</f>
        <v>Soybean</v>
      </c>
      <c r="B120" s="406">
        <f t="shared" ref="B120:H129" si="20">B68-(B68*$G$6)</f>
        <v>0</v>
      </c>
      <c r="C120" s="406">
        <f t="shared" si="20"/>
        <v>0</v>
      </c>
      <c r="D120" s="406">
        <f t="shared" si="20"/>
        <v>0</v>
      </c>
      <c r="E120" s="406">
        <f t="shared" si="20"/>
        <v>0</v>
      </c>
      <c r="F120" s="406">
        <f t="shared" si="20"/>
        <v>0</v>
      </c>
      <c r="G120" s="406">
        <f t="shared" si="20"/>
        <v>0</v>
      </c>
      <c r="H120" s="406">
        <f t="shared" si="20"/>
        <v>0</v>
      </c>
    </row>
    <row r="121" spans="1:12" ht="14.45" hidden="1" x14ac:dyDescent="0.35">
      <c r="A121" s="360" t="str">
        <f t="shared" si="19"/>
        <v>Red Gram/Tur</v>
      </c>
      <c r="B121" s="406">
        <f t="shared" si="20"/>
        <v>0</v>
      </c>
      <c r="C121" s="406">
        <f t="shared" si="20"/>
        <v>0</v>
      </c>
      <c r="D121" s="406">
        <f t="shared" si="20"/>
        <v>0</v>
      </c>
      <c r="E121" s="406">
        <f t="shared" si="20"/>
        <v>0</v>
      </c>
      <c r="F121" s="406">
        <f t="shared" si="20"/>
        <v>0</v>
      </c>
      <c r="G121" s="406">
        <f t="shared" si="20"/>
        <v>0</v>
      </c>
      <c r="H121" s="406">
        <f t="shared" si="20"/>
        <v>0</v>
      </c>
    </row>
    <row r="122" spans="1:12" ht="14.45" hidden="1" x14ac:dyDescent="0.35">
      <c r="A122" s="360" t="str">
        <f t="shared" si="19"/>
        <v>Paddy/Rice</v>
      </c>
      <c r="B122" s="406">
        <f t="shared" si="20"/>
        <v>0</v>
      </c>
      <c r="C122" s="406">
        <f t="shared" si="20"/>
        <v>0</v>
      </c>
      <c r="D122" s="406">
        <f t="shared" si="20"/>
        <v>0</v>
      </c>
      <c r="E122" s="406">
        <f t="shared" si="20"/>
        <v>0</v>
      </c>
      <c r="F122" s="406">
        <f t="shared" si="20"/>
        <v>0</v>
      </c>
      <c r="G122" s="406">
        <f t="shared" si="20"/>
        <v>0</v>
      </c>
      <c r="H122" s="406">
        <f t="shared" si="20"/>
        <v>0</v>
      </c>
    </row>
    <row r="123" spans="1:12" ht="14.45" hidden="1" x14ac:dyDescent="0.35">
      <c r="A123" s="360" t="str">
        <f t="shared" si="19"/>
        <v>Masoor/ Moong</v>
      </c>
      <c r="B123" s="406">
        <f t="shared" si="20"/>
        <v>0</v>
      </c>
      <c r="C123" s="406">
        <f t="shared" si="20"/>
        <v>0</v>
      </c>
      <c r="D123" s="406">
        <f t="shared" si="20"/>
        <v>0</v>
      </c>
      <c r="E123" s="406">
        <f t="shared" si="20"/>
        <v>0</v>
      </c>
      <c r="F123" s="406">
        <f t="shared" si="20"/>
        <v>0</v>
      </c>
      <c r="G123" s="406">
        <f t="shared" si="20"/>
        <v>0</v>
      </c>
      <c r="H123" s="406">
        <f t="shared" si="20"/>
        <v>0</v>
      </c>
    </row>
    <row r="124" spans="1:12" ht="14.45" hidden="1" x14ac:dyDescent="0.35">
      <c r="A124" s="360" t="str">
        <f t="shared" si="19"/>
        <v>Sweet Potato</v>
      </c>
      <c r="B124" s="406">
        <f t="shared" si="20"/>
        <v>0</v>
      </c>
      <c r="C124" s="406">
        <f t="shared" si="20"/>
        <v>0</v>
      </c>
      <c r="D124" s="406">
        <f t="shared" si="20"/>
        <v>0</v>
      </c>
      <c r="E124" s="406">
        <f t="shared" si="20"/>
        <v>0</v>
      </c>
      <c r="F124" s="406">
        <f t="shared" si="20"/>
        <v>0</v>
      </c>
      <c r="G124" s="406">
        <f t="shared" si="20"/>
        <v>0</v>
      </c>
      <c r="H124" s="406">
        <f t="shared" si="20"/>
        <v>0</v>
      </c>
    </row>
    <row r="125" spans="1:12" ht="14.45" hidden="1" x14ac:dyDescent="0.35">
      <c r="A125" s="360" t="str">
        <f t="shared" si="19"/>
        <v>Black Gram/Udid</v>
      </c>
      <c r="B125" s="406">
        <f t="shared" si="20"/>
        <v>0</v>
      </c>
      <c r="C125" s="406">
        <f t="shared" si="20"/>
        <v>0</v>
      </c>
      <c r="D125" s="406">
        <f t="shared" si="20"/>
        <v>0</v>
      </c>
      <c r="E125" s="406">
        <f t="shared" si="20"/>
        <v>0</v>
      </c>
      <c r="F125" s="406">
        <f t="shared" si="20"/>
        <v>0</v>
      </c>
      <c r="G125" s="406">
        <f t="shared" si="20"/>
        <v>0</v>
      </c>
      <c r="H125" s="406">
        <f t="shared" si="20"/>
        <v>0</v>
      </c>
    </row>
    <row r="126" spans="1:12" ht="14.45" hidden="1" x14ac:dyDescent="0.35">
      <c r="A126" s="360" t="str">
        <f t="shared" si="19"/>
        <v>RAGI</v>
      </c>
      <c r="B126" s="406">
        <f t="shared" si="20"/>
        <v>0</v>
      </c>
      <c r="C126" s="406">
        <f t="shared" si="20"/>
        <v>0</v>
      </c>
      <c r="D126" s="406">
        <f t="shared" si="20"/>
        <v>0</v>
      </c>
      <c r="E126" s="406">
        <f t="shared" si="20"/>
        <v>0</v>
      </c>
      <c r="F126" s="406">
        <f t="shared" si="20"/>
        <v>0</v>
      </c>
      <c r="G126" s="406">
        <f t="shared" si="20"/>
        <v>0</v>
      </c>
      <c r="H126" s="406">
        <f t="shared" si="20"/>
        <v>0</v>
      </c>
    </row>
    <row r="127" spans="1:12" ht="14.45" hidden="1" x14ac:dyDescent="0.35">
      <c r="A127" s="360" t="str">
        <f t="shared" si="19"/>
        <v>Jawar</v>
      </c>
      <c r="B127" s="406">
        <f t="shared" si="20"/>
        <v>0</v>
      </c>
      <c r="C127" s="406">
        <f t="shared" si="20"/>
        <v>0</v>
      </c>
      <c r="D127" s="406">
        <f t="shared" si="20"/>
        <v>0</v>
      </c>
      <c r="E127" s="406">
        <f t="shared" si="20"/>
        <v>0</v>
      </c>
      <c r="F127" s="406">
        <f t="shared" si="20"/>
        <v>0</v>
      </c>
      <c r="G127" s="406">
        <f t="shared" si="20"/>
        <v>0</v>
      </c>
      <c r="H127" s="406">
        <f t="shared" si="20"/>
        <v>0</v>
      </c>
    </row>
    <row r="128" spans="1:12" ht="14.45" hidden="1" x14ac:dyDescent="0.35">
      <c r="A128" s="360" t="str">
        <f t="shared" si="19"/>
        <v>Sunflower</v>
      </c>
      <c r="B128" s="406">
        <f t="shared" si="20"/>
        <v>0</v>
      </c>
      <c r="C128" s="406">
        <f t="shared" si="20"/>
        <v>0</v>
      </c>
      <c r="D128" s="406">
        <f t="shared" si="20"/>
        <v>0</v>
      </c>
      <c r="E128" s="406">
        <f t="shared" si="20"/>
        <v>0</v>
      </c>
      <c r="F128" s="406">
        <f t="shared" si="20"/>
        <v>0</v>
      </c>
      <c r="G128" s="406">
        <f t="shared" si="20"/>
        <v>0</v>
      </c>
      <c r="H128" s="406">
        <f t="shared" si="20"/>
        <v>0</v>
      </c>
    </row>
    <row r="129" spans="1:8" ht="14.45" hidden="1" x14ac:dyDescent="0.35">
      <c r="A129" s="360" t="str">
        <f t="shared" si="19"/>
        <v>Wheat</v>
      </c>
      <c r="B129" s="406">
        <f t="shared" si="20"/>
        <v>0</v>
      </c>
      <c r="C129" s="406">
        <f t="shared" si="20"/>
        <v>0</v>
      </c>
      <c r="D129" s="406">
        <f t="shared" si="20"/>
        <v>0</v>
      </c>
      <c r="E129" s="406">
        <f t="shared" si="20"/>
        <v>0</v>
      </c>
      <c r="F129" s="406">
        <f t="shared" si="20"/>
        <v>0</v>
      </c>
      <c r="G129" s="406">
        <f t="shared" si="20"/>
        <v>0</v>
      </c>
      <c r="H129" s="406">
        <f t="shared" si="20"/>
        <v>0</v>
      </c>
    </row>
    <row r="130" spans="1:8" ht="14.45" hidden="1" x14ac:dyDescent="0.35">
      <c r="A130" s="360" t="str">
        <f t="shared" si="19"/>
        <v>Bengal Gram/Channa</v>
      </c>
      <c r="B130" s="406">
        <f t="shared" ref="B130:H137" si="21">B78-(B78*$G$6)</f>
        <v>0</v>
      </c>
      <c r="C130" s="406">
        <f t="shared" si="21"/>
        <v>0</v>
      </c>
      <c r="D130" s="406">
        <f t="shared" si="21"/>
        <v>0</v>
      </c>
      <c r="E130" s="406">
        <f t="shared" si="21"/>
        <v>0</v>
      </c>
      <c r="F130" s="406">
        <f t="shared" si="21"/>
        <v>0</v>
      </c>
      <c r="G130" s="406">
        <f t="shared" si="21"/>
        <v>0</v>
      </c>
      <c r="H130" s="406">
        <f t="shared" si="21"/>
        <v>0</v>
      </c>
    </row>
    <row r="131" spans="1:8" ht="14.45" hidden="1" x14ac:dyDescent="0.35">
      <c r="A131" s="360" t="str">
        <f t="shared" si="19"/>
        <v>Jawar</v>
      </c>
      <c r="B131" s="406">
        <f t="shared" si="21"/>
        <v>0</v>
      </c>
      <c r="C131" s="406">
        <f t="shared" si="21"/>
        <v>0</v>
      </c>
      <c r="D131" s="406">
        <f t="shared" si="21"/>
        <v>0</v>
      </c>
      <c r="E131" s="406">
        <f t="shared" si="21"/>
        <v>0</v>
      </c>
      <c r="F131" s="406">
        <f t="shared" si="21"/>
        <v>0</v>
      </c>
      <c r="G131" s="406">
        <f t="shared" si="21"/>
        <v>0</v>
      </c>
      <c r="H131" s="406">
        <f t="shared" si="21"/>
        <v>0</v>
      </c>
    </row>
    <row r="132" spans="1:8" ht="14.45" hidden="1" x14ac:dyDescent="0.35">
      <c r="A132" s="360" t="str">
        <f t="shared" si="19"/>
        <v>Sweet Potato</v>
      </c>
      <c r="B132" s="406">
        <f t="shared" si="21"/>
        <v>0</v>
      </c>
      <c r="C132" s="406">
        <f t="shared" si="21"/>
        <v>0</v>
      </c>
      <c r="D132" s="406">
        <f t="shared" si="21"/>
        <v>0</v>
      </c>
      <c r="E132" s="406">
        <f t="shared" si="21"/>
        <v>0</v>
      </c>
      <c r="F132" s="406">
        <f t="shared" si="21"/>
        <v>0</v>
      </c>
      <c r="G132" s="406">
        <f t="shared" si="21"/>
        <v>0</v>
      </c>
      <c r="H132" s="406">
        <f t="shared" si="21"/>
        <v>0</v>
      </c>
    </row>
    <row r="133" spans="1:8" ht="14.45" hidden="1" x14ac:dyDescent="0.35">
      <c r="A133" s="360" t="str">
        <f t="shared" si="19"/>
        <v>Safflower</v>
      </c>
      <c r="B133" s="406">
        <f t="shared" si="21"/>
        <v>0</v>
      </c>
      <c r="C133" s="406">
        <f t="shared" si="21"/>
        <v>0</v>
      </c>
      <c r="D133" s="406">
        <f t="shared" si="21"/>
        <v>0</v>
      </c>
      <c r="E133" s="406">
        <f t="shared" si="21"/>
        <v>0</v>
      </c>
      <c r="F133" s="406">
        <f t="shared" si="21"/>
        <v>0</v>
      </c>
      <c r="G133" s="406">
        <f t="shared" si="21"/>
        <v>0</v>
      </c>
      <c r="H133" s="406">
        <f t="shared" si="21"/>
        <v>0</v>
      </c>
    </row>
    <row r="134" spans="1:8" ht="14.45" hidden="1" x14ac:dyDescent="0.35">
      <c r="A134" s="360">
        <f t="shared" si="19"/>
        <v>0</v>
      </c>
      <c r="B134" s="406">
        <f t="shared" si="21"/>
        <v>0</v>
      </c>
      <c r="C134" s="406">
        <f t="shared" si="21"/>
        <v>0</v>
      </c>
      <c r="D134" s="406">
        <f t="shared" si="21"/>
        <v>0</v>
      </c>
      <c r="E134" s="406">
        <f t="shared" si="21"/>
        <v>0</v>
      </c>
      <c r="F134" s="406">
        <f t="shared" si="21"/>
        <v>0</v>
      </c>
      <c r="G134" s="406">
        <f t="shared" si="21"/>
        <v>0</v>
      </c>
      <c r="H134" s="406">
        <f t="shared" si="21"/>
        <v>0</v>
      </c>
    </row>
    <row r="135" spans="1:8" ht="14.45" hidden="1" x14ac:dyDescent="0.35">
      <c r="A135" s="360">
        <f t="shared" si="19"/>
        <v>0</v>
      </c>
      <c r="B135" s="406">
        <f t="shared" si="21"/>
        <v>0</v>
      </c>
      <c r="C135" s="406">
        <f t="shared" si="21"/>
        <v>0</v>
      </c>
      <c r="D135" s="406">
        <f t="shared" si="21"/>
        <v>0</v>
      </c>
      <c r="E135" s="406">
        <f t="shared" si="21"/>
        <v>0</v>
      </c>
      <c r="F135" s="406">
        <f t="shared" si="21"/>
        <v>0</v>
      </c>
      <c r="G135" s="406">
        <f t="shared" si="21"/>
        <v>0</v>
      </c>
      <c r="H135" s="406">
        <f t="shared" si="21"/>
        <v>0</v>
      </c>
    </row>
    <row r="136" spans="1:8" ht="14.45" hidden="1" x14ac:dyDescent="0.35">
      <c r="A136" s="360">
        <f t="shared" si="19"/>
        <v>0</v>
      </c>
      <c r="B136" s="406">
        <f t="shared" si="21"/>
        <v>0</v>
      </c>
      <c r="C136" s="406">
        <f t="shared" si="21"/>
        <v>0</v>
      </c>
      <c r="D136" s="406">
        <f t="shared" si="21"/>
        <v>0</v>
      </c>
      <c r="E136" s="406">
        <f t="shared" si="21"/>
        <v>0</v>
      </c>
      <c r="F136" s="406">
        <f t="shared" si="21"/>
        <v>0</v>
      </c>
      <c r="G136" s="406">
        <f t="shared" si="21"/>
        <v>0</v>
      </c>
      <c r="H136" s="406">
        <f t="shared" si="21"/>
        <v>0</v>
      </c>
    </row>
    <row r="137" spans="1:8" ht="14.45" hidden="1" x14ac:dyDescent="0.35">
      <c r="A137" s="360" t="str">
        <f t="shared" si="19"/>
        <v>Groundnut</v>
      </c>
      <c r="B137" s="406">
        <f t="shared" si="21"/>
        <v>0</v>
      </c>
      <c r="C137" s="406">
        <f t="shared" si="21"/>
        <v>0</v>
      </c>
      <c r="D137" s="406">
        <f t="shared" si="21"/>
        <v>0</v>
      </c>
      <c r="E137" s="406">
        <f t="shared" si="21"/>
        <v>0</v>
      </c>
      <c r="F137" s="406">
        <f t="shared" si="21"/>
        <v>0</v>
      </c>
      <c r="G137" s="406">
        <f t="shared" si="21"/>
        <v>0</v>
      </c>
      <c r="H137" s="406">
        <f t="shared" si="21"/>
        <v>0</v>
      </c>
    </row>
    <row r="138" spans="1:8" ht="14.45" x14ac:dyDescent="0.35">
      <c r="A138" s="360" t="s">
        <v>1310</v>
      </c>
      <c r="B138" s="396">
        <f>(B86-(B86*$G$6))*0.7</f>
        <v>5230.2025036800005</v>
      </c>
      <c r="C138" s="396">
        <f t="shared" ref="C138:H138" si="22">(C86-(C86*$G$6))*0.7</f>
        <v>5666.0527123200018</v>
      </c>
      <c r="D138" s="396">
        <f t="shared" si="22"/>
        <v>6101.9029209600003</v>
      </c>
      <c r="E138" s="396">
        <f t="shared" si="22"/>
        <v>6537.7531296000016</v>
      </c>
      <c r="F138" s="396">
        <f t="shared" si="22"/>
        <v>6973.6033382400028</v>
      </c>
      <c r="G138" s="396">
        <f t="shared" si="22"/>
        <v>7409.4535468800032</v>
      </c>
      <c r="H138" s="396">
        <f t="shared" si="22"/>
        <v>7845.3037555200044</v>
      </c>
    </row>
    <row r="139" spans="1:8" ht="14.45" x14ac:dyDescent="0.35">
      <c r="A139" s="360" t="s">
        <v>1311</v>
      </c>
      <c r="B139" s="396">
        <f>(B86-(B86*$G$6))*0.3</f>
        <v>2241.5153587200002</v>
      </c>
      <c r="C139" s="396">
        <f t="shared" ref="C139:H139" si="23">(C86-(C86*$G$6))*0.3</f>
        <v>2428.3083052800007</v>
      </c>
      <c r="D139" s="396">
        <f t="shared" si="23"/>
        <v>2615.1012518400003</v>
      </c>
      <c r="E139" s="396">
        <f t="shared" si="23"/>
        <v>2801.8941984000007</v>
      </c>
      <c r="F139" s="396">
        <f t="shared" si="23"/>
        <v>2988.6871449600012</v>
      </c>
      <c r="G139" s="396">
        <f t="shared" si="23"/>
        <v>3175.4800915200017</v>
      </c>
      <c r="H139" s="396">
        <f t="shared" si="23"/>
        <v>3362.2730380800017</v>
      </c>
    </row>
    <row r="140" spans="1:8" ht="14.45" hidden="1" x14ac:dyDescent="0.35">
      <c r="A140" s="360">
        <f t="shared" si="19"/>
        <v>0</v>
      </c>
      <c r="B140" s="406">
        <f t="shared" ref="B140:H141" si="24">B88-(B88*$G$6)</f>
        <v>0</v>
      </c>
      <c r="C140" s="406">
        <f t="shared" si="24"/>
        <v>0</v>
      </c>
      <c r="D140" s="406">
        <f t="shared" si="24"/>
        <v>0</v>
      </c>
      <c r="E140" s="406">
        <f t="shared" si="24"/>
        <v>0</v>
      </c>
      <c r="F140" s="406">
        <f t="shared" si="24"/>
        <v>0</v>
      </c>
      <c r="G140" s="406">
        <f t="shared" si="24"/>
        <v>0</v>
      </c>
      <c r="H140" s="406">
        <f t="shared" si="24"/>
        <v>0</v>
      </c>
    </row>
    <row r="141" spans="1:8" ht="14.45" hidden="1" x14ac:dyDescent="0.35">
      <c r="A141" s="360">
        <f t="shared" si="19"/>
        <v>0</v>
      </c>
      <c r="B141" s="406">
        <f t="shared" si="24"/>
        <v>0</v>
      </c>
      <c r="C141" s="406">
        <f t="shared" si="24"/>
        <v>0</v>
      </c>
      <c r="D141" s="406">
        <f t="shared" si="24"/>
        <v>0</v>
      </c>
      <c r="E141" s="406">
        <f t="shared" si="24"/>
        <v>0</v>
      </c>
      <c r="F141" s="406">
        <f t="shared" si="24"/>
        <v>0</v>
      </c>
      <c r="G141" s="406">
        <f t="shared" si="24"/>
        <v>0</v>
      </c>
      <c r="H141" s="406">
        <f t="shared" si="24"/>
        <v>0</v>
      </c>
    </row>
    <row r="142" spans="1:8" ht="14.45" hidden="1" x14ac:dyDescent="0.35">
      <c r="A142" s="360"/>
      <c r="B142" s="406"/>
      <c r="C142" s="406"/>
      <c r="D142" s="406"/>
      <c r="E142" s="406"/>
      <c r="F142" s="406"/>
      <c r="G142" s="406"/>
      <c r="H142" s="406"/>
    </row>
    <row r="143" spans="1:8" ht="14.45" hidden="1" x14ac:dyDescent="0.35">
      <c r="A143" s="366" t="str">
        <f t="shared" ref="A143:A161" si="25">A91</f>
        <v>Fruit  &amp; Vegetables Crop Production Details</v>
      </c>
      <c r="B143" s="406"/>
      <c r="C143" s="406"/>
      <c r="D143" s="406"/>
      <c r="E143" s="406"/>
      <c r="F143" s="406"/>
      <c r="G143" s="406"/>
      <c r="H143" s="406"/>
    </row>
    <row r="144" spans="1:8" ht="14.45" hidden="1" x14ac:dyDescent="0.35">
      <c r="A144" s="360" t="str">
        <f t="shared" si="25"/>
        <v>Onion</v>
      </c>
      <c r="B144" s="406">
        <f t="shared" ref="B144:H153" si="26">B92-(B92*$G$7)</f>
        <v>0</v>
      </c>
      <c r="C144" s="406">
        <f t="shared" si="26"/>
        <v>0</v>
      </c>
      <c r="D144" s="406">
        <f t="shared" si="26"/>
        <v>0</v>
      </c>
      <c r="E144" s="406">
        <f t="shared" si="26"/>
        <v>0</v>
      </c>
      <c r="F144" s="406">
        <f t="shared" si="26"/>
        <v>0</v>
      </c>
      <c r="G144" s="406">
        <f t="shared" si="26"/>
        <v>0</v>
      </c>
      <c r="H144" s="406">
        <f t="shared" si="26"/>
        <v>0</v>
      </c>
    </row>
    <row r="145" spans="1:8" ht="14.45" hidden="1" x14ac:dyDescent="0.35">
      <c r="A145" s="360" t="str">
        <f t="shared" si="25"/>
        <v>Tomato</v>
      </c>
      <c r="B145" s="406">
        <f t="shared" si="26"/>
        <v>0</v>
      </c>
      <c r="C145" s="406">
        <f t="shared" si="26"/>
        <v>0</v>
      </c>
      <c r="D145" s="406">
        <f t="shared" si="26"/>
        <v>0</v>
      </c>
      <c r="E145" s="406">
        <f t="shared" si="26"/>
        <v>0</v>
      </c>
      <c r="F145" s="406">
        <f t="shared" si="26"/>
        <v>0</v>
      </c>
      <c r="G145" s="406">
        <f t="shared" si="26"/>
        <v>0</v>
      </c>
      <c r="H145" s="406">
        <f t="shared" si="26"/>
        <v>0</v>
      </c>
    </row>
    <row r="146" spans="1:8" ht="14.45" hidden="1" x14ac:dyDescent="0.35">
      <c r="A146" s="360" t="str">
        <f t="shared" si="25"/>
        <v>Okra</v>
      </c>
      <c r="B146" s="406">
        <f t="shared" si="26"/>
        <v>0</v>
      </c>
      <c r="C146" s="406">
        <f t="shared" si="26"/>
        <v>0</v>
      </c>
      <c r="D146" s="406">
        <f t="shared" si="26"/>
        <v>0</v>
      </c>
      <c r="E146" s="406">
        <f t="shared" si="26"/>
        <v>0</v>
      </c>
      <c r="F146" s="406">
        <f t="shared" si="26"/>
        <v>0</v>
      </c>
      <c r="G146" s="406">
        <f t="shared" si="26"/>
        <v>0</v>
      </c>
      <c r="H146" s="406">
        <f t="shared" si="26"/>
        <v>0</v>
      </c>
    </row>
    <row r="147" spans="1:8" ht="14.45" hidden="1" x14ac:dyDescent="0.35">
      <c r="A147" s="360" t="str">
        <f t="shared" si="25"/>
        <v>Chilli</v>
      </c>
      <c r="B147" s="406">
        <f t="shared" si="26"/>
        <v>0</v>
      </c>
      <c r="C147" s="406">
        <f t="shared" si="26"/>
        <v>0</v>
      </c>
      <c r="D147" s="406">
        <f t="shared" si="26"/>
        <v>0</v>
      </c>
      <c r="E147" s="406">
        <f t="shared" si="26"/>
        <v>0</v>
      </c>
      <c r="F147" s="406">
        <f t="shared" si="26"/>
        <v>0</v>
      </c>
      <c r="G147" s="406">
        <f t="shared" si="26"/>
        <v>0</v>
      </c>
      <c r="H147" s="406">
        <f t="shared" si="26"/>
        <v>0</v>
      </c>
    </row>
    <row r="148" spans="1:8" ht="14.45" hidden="1" x14ac:dyDescent="0.35">
      <c r="A148" s="360" t="str">
        <f t="shared" si="25"/>
        <v>Potato</v>
      </c>
      <c r="B148" s="406">
        <f t="shared" si="26"/>
        <v>0</v>
      </c>
      <c r="C148" s="406">
        <f t="shared" si="26"/>
        <v>0</v>
      </c>
      <c r="D148" s="406">
        <f t="shared" si="26"/>
        <v>0</v>
      </c>
      <c r="E148" s="406">
        <f t="shared" si="26"/>
        <v>0</v>
      </c>
      <c r="F148" s="406">
        <f t="shared" si="26"/>
        <v>0</v>
      </c>
      <c r="G148" s="406">
        <f t="shared" si="26"/>
        <v>0</v>
      </c>
      <c r="H148" s="406">
        <f t="shared" si="26"/>
        <v>0</v>
      </c>
    </row>
    <row r="149" spans="1:8" ht="14.45" hidden="1" x14ac:dyDescent="0.35">
      <c r="A149" s="360" t="str">
        <f t="shared" si="25"/>
        <v>SWEET POTATO</v>
      </c>
      <c r="B149" s="406">
        <f t="shared" si="26"/>
        <v>0</v>
      </c>
      <c r="C149" s="406">
        <f t="shared" si="26"/>
        <v>0</v>
      </c>
      <c r="D149" s="406">
        <f t="shared" si="26"/>
        <v>0</v>
      </c>
      <c r="E149" s="406">
        <f t="shared" si="26"/>
        <v>0</v>
      </c>
      <c r="F149" s="406">
        <f t="shared" si="26"/>
        <v>0</v>
      </c>
      <c r="G149" s="406">
        <f t="shared" si="26"/>
        <v>0</v>
      </c>
      <c r="H149" s="406">
        <f t="shared" si="26"/>
        <v>0</v>
      </c>
    </row>
    <row r="150" spans="1:8" ht="14.45" hidden="1" x14ac:dyDescent="0.35">
      <c r="A150" s="360">
        <f t="shared" si="25"/>
        <v>0</v>
      </c>
      <c r="B150" s="406">
        <f t="shared" si="26"/>
        <v>0</v>
      </c>
      <c r="C150" s="406">
        <f t="shared" si="26"/>
        <v>0</v>
      </c>
      <c r="D150" s="406">
        <f t="shared" si="26"/>
        <v>0</v>
      </c>
      <c r="E150" s="406">
        <f t="shared" si="26"/>
        <v>0</v>
      </c>
      <c r="F150" s="406">
        <f t="shared" si="26"/>
        <v>0</v>
      </c>
      <c r="G150" s="406">
        <f t="shared" si="26"/>
        <v>0</v>
      </c>
      <c r="H150" s="406">
        <f t="shared" si="26"/>
        <v>0</v>
      </c>
    </row>
    <row r="151" spans="1:8" ht="14.45" hidden="1" x14ac:dyDescent="0.35">
      <c r="A151" s="360">
        <f t="shared" si="25"/>
        <v>0</v>
      </c>
      <c r="B151" s="406">
        <f t="shared" si="26"/>
        <v>0</v>
      </c>
      <c r="C151" s="406">
        <f t="shared" si="26"/>
        <v>0</v>
      </c>
      <c r="D151" s="406">
        <f t="shared" si="26"/>
        <v>0</v>
      </c>
      <c r="E151" s="406">
        <f t="shared" si="26"/>
        <v>0</v>
      </c>
      <c r="F151" s="406">
        <f t="shared" si="26"/>
        <v>0</v>
      </c>
      <c r="G151" s="406">
        <f t="shared" si="26"/>
        <v>0</v>
      </c>
      <c r="H151" s="406">
        <f t="shared" si="26"/>
        <v>0</v>
      </c>
    </row>
    <row r="152" spans="1:8" ht="14.45" hidden="1" x14ac:dyDescent="0.35">
      <c r="A152" s="360">
        <f t="shared" si="25"/>
        <v>0</v>
      </c>
      <c r="B152" s="406">
        <f t="shared" si="26"/>
        <v>0</v>
      </c>
      <c r="C152" s="406">
        <f t="shared" si="26"/>
        <v>0</v>
      </c>
      <c r="D152" s="406">
        <f t="shared" si="26"/>
        <v>0</v>
      </c>
      <c r="E152" s="406">
        <f t="shared" si="26"/>
        <v>0</v>
      </c>
      <c r="F152" s="406">
        <f t="shared" si="26"/>
        <v>0</v>
      </c>
      <c r="G152" s="406">
        <f t="shared" si="26"/>
        <v>0</v>
      </c>
      <c r="H152" s="406">
        <f t="shared" si="26"/>
        <v>0</v>
      </c>
    </row>
    <row r="153" spans="1:8" ht="14.45" hidden="1" x14ac:dyDescent="0.35">
      <c r="A153" s="360" t="str">
        <f t="shared" si="25"/>
        <v>Onion</v>
      </c>
      <c r="B153" s="406">
        <f t="shared" si="26"/>
        <v>0</v>
      </c>
      <c r="C153" s="406">
        <f t="shared" si="26"/>
        <v>0</v>
      </c>
      <c r="D153" s="406">
        <f t="shared" si="26"/>
        <v>0</v>
      </c>
      <c r="E153" s="406">
        <f t="shared" si="26"/>
        <v>0</v>
      </c>
      <c r="F153" s="406">
        <f t="shared" si="26"/>
        <v>0</v>
      </c>
      <c r="G153" s="406">
        <f t="shared" si="26"/>
        <v>0</v>
      </c>
      <c r="H153" s="406">
        <f t="shared" si="26"/>
        <v>0</v>
      </c>
    </row>
    <row r="154" spans="1:8" ht="14.45" hidden="1" x14ac:dyDescent="0.35">
      <c r="A154" s="360" t="str">
        <f t="shared" si="25"/>
        <v>Tomato</v>
      </c>
      <c r="B154" s="406">
        <f t="shared" ref="B154:H161" si="27">B102-(B102*$G$7)</f>
        <v>0</v>
      </c>
      <c r="C154" s="406">
        <f t="shared" si="27"/>
        <v>0</v>
      </c>
      <c r="D154" s="406">
        <f t="shared" si="27"/>
        <v>0</v>
      </c>
      <c r="E154" s="406">
        <f t="shared" si="27"/>
        <v>0</v>
      </c>
      <c r="F154" s="406">
        <f t="shared" si="27"/>
        <v>0</v>
      </c>
      <c r="G154" s="406">
        <f t="shared" si="27"/>
        <v>0</v>
      </c>
      <c r="H154" s="406">
        <f t="shared" si="27"/>
        <v>0</v>
      </c>
    </row>
    <row r="155" spans="1:8" ht="14.45" hidden="1" x14ac:dyDescent="0.35">
      <c r="A155" s="360" t="str">
        <f t="shared" si="25"/>
        <v>Okra</v>
      </c>
      <c r="B155" s="406">
        <f t="shared" si="27"/>
        <v>0</v>
      </c>
      <c r="C155" s="406">
        <f t="shared" si="27"/>
        <v>0</v>
      </c>
      <c r="D155" s="406">
        <f t="shared" si="27"/>
        <v>0</v>
      </c>
      <c r="E155" s="406">
        <f t="shared" si="27"/>
        <v>0</v>
      </c>
      <c r="F155" s="406">
        <f t="shared" si="27"/>
        <v>0</v>
      </c>
      <c r="G155" s="406">
        <f t="shared" si="27"/>
        <v>0</v>
      </c>
      <c r="H155" s="406">
        <f t="shared" si="27"/>
        <v>0</v>
      </c>
    </row>
    <row r="156" spans="1:8" ht="14.45" hidden="1" x14ac:dyDescent="0.35">
      <c r="A156" s="360" t="str">
        <f t="shared" si="25"/>
        <v>Chilli</v>
      </c>
      <c r="B156" s="406">
        <f t="shared" si="27"/>
        <v>0</v>
      </c>
      <c r="C156" s="406">
        <f t="shared" si="27"/>
        <v>0</v>
      </c>
      <c r="D156" s="406">
        <f t="shared" si="27"/>
        <v>0</v>
      </c>
      <c r="E156" s="406">
        <f t="shared" si="27"/>
        <v>0</v>
      </c>
      <c r="F156" s="406">
        <f t="shared" si="27"/>
        <v>0</v>
      </c>
      <c r="G156" s="406">
        <f t="shared" si="27"/>
        <v>0</v>
      </c>
      <c r="H156" s="406">
        <f t="shared" si="27"/>
        <v>0</v>
      </c>
    </row>
    <row r="157" spans="1:8" ht="14.45" hidden="1" x14ac:dyDescent="0.35">
      <c r="A157" s="360" t="str">
        <f t="shared" si="25"/>
        <v>Potato</v>
      </c>
      <c r="B157" s="406">
        <f t="shared" si="27"/>
        <v>0</v>
      </c>
      <c r="C157" s="406">
        <f t="shared" si="27"/>
        <v>0</v>
      </c>
      <c r="D157" s="406">
        <f t="shared" si="27"/>
        <v>0</v>
      </c>
      <c r="E157" s="406">
        <f t="shared" si="27"/>
        <v>0</v>
      </c>
      <c r="F157" s="406">
        <f t="shared" si="27"/>
        <v>0</v>
      </c>
      <c r="G157" s="406">
        <f t="shared" si="27"/>
        <v>0</v>
      </c>
      <c r="H157" s="406">
        <f t="shared" si="27"/>
        <v>0</v>
      </c>
    </row>
    <row r="158" spans="1:8" ht="14.45" hidden="1" x14ac:dyDescent="0.35">
      <c r="A158" s="360" t="str">
        <f t="shared" si="25"/>
        <v>SWEET POTATO</v>
      </c>
      <c r="B158" s="406">
        <f t="shared" si="27"/>
        <v>0</v>
      </c>
      <c r="C158" s="406">
        <f t="shared" si="27"/>
        <v>0</v>
      </c>
      <c r="D158" s="406">
        <f t="shared" si="27"/>
        <v>0</v>
      </c>
      <c r="E158" s="406">
        <f t="shared" si="27"/>
        <v>0</v>
      </c>
      <c r="F158" s="406">
        <f t="shared" si="27"/>
        <v>0</v>
      </c>
      <c r="G158" s="406">
        <f t="shared" si="27"/>
        <v>0</v>
      </c>
      <c r="H158" s="406">
        <f t="shared" si="27"/>
        <v>0</v>
      </c>
    </row>
    <row r="159" spans="1:8" ht="14.45" hidden="1" x14ac:dyDescent="0.35">
      <c r="A159" s="360">
        <f t="shared" si="25"/>
        <v>0</v>
      </c>
      <c r="B159" s="406">
        <f t="shared" si="27"/>
        <v>0</v>
      </c>
      <c r="C159" s="406">
        <f t="shared" si="27"/>
        <v>0</v>
      </c>
      <c r="D159" s="406">
        <f t="shared" si="27"/>
        <v>0</v>
      </c>
      <c r="E159" s="406">
        <f t="shared" si="27"/>
        <v>0</v>
      </c>
      <c r="F159" s="406">
        <f t="shared" si="27"/>
        <v>0</v>
      </c>
      <c r="G159" s="406">
        <f t="shared" si="27"/>
        <v>0</v>
      </c>
      <c r="H159" s="406">
        <f t="shared" si="27"/>
        <v>0</v>
      </c>
    </row>
    <row r="160" spans="1:8" ht="14.45" hidden="1" x14ac:dyDescent="0.35">
      <c r="A160" s="360">
        <f t="shared" si="25"/>
        <v>0</v>
      </c>
      <c r="B160" s="406">
        <f t="shared" si="27"/>
        <v>0</v>
      </c>
      <c r="C160" s="406">
        <f t="shared" si="27"/>
        <v>0</v>
      </c>
      <c r="D160" s="406">
        <f t="shared" si="27"/>
        <v>0</v>
      </c>
      <c r="E160" s="406">
        <f t="shared" si="27"/>
        <v>0</v>
      </c>
      <c r="F160" s="406">
        <f t="shared" si="27"/>
        <v>0</v>
      </c>
      <c r="G160" s="406">
        <f t="shared" si="27"/>
        <v>0</v>
      </c>
      <c r="H160" s="406">
        <f t="shared" si="27"/>
        <v>0</v>
      </c>
    </row>
    <row r="161" spans="1:10" ht="14.45" hidden="1" x14ac:dyDescent="0.35">
      <c r="A161" s="360">
        <f t="shared" si="25"/>
        <v>0</v>
      </c>
      <c r="B161" s="406">
        <f t="shared" si="27"/>
        <v>0</v>
      </c>
      <c r="C161" s="406">
        <f t="shared" si="27"/>
        <v>0</v>
      </c>
      <c r="D161" s="406">
        <f t="shared" si="27"/>
        <v>0</v>
      </c>
      <c r="E161" s="406">
        <f t="shared" si="27"/>
        <v>0</v>
      </c>
      <c r="F161" s="406">
        <f t="shared" si="27"/>
        <v>0</v>
      </c>
      <c r="G161" s="406">
        <f t="shared" si="27"/>
        <v>0</v>
      </c>
      <c r="H161" s="406">
        <f t="shared" si="27"/>
        <v>0</v>
      </c>
    </row>
    <row r="162" spans="1:10" ht="14.45" hidden="1" x14ac:dyDescent="0.35">
      <c r="A162" s="360">
        <f t="shared" ref="A162:A165" si="28">A110</f>
        <v>0</v>
      </c>
      <c r="B162" s="406">
        <f t="shared" ref="B162:H162" si="29">B110-(B110*$G$7)</f>
        <v>0</v>
      </c>
      <c r="C162" s="406">
        <f t="shared" si="29"/>
        <v>0</v>
      </c>
      <c r="D162" s="406">
        <f t="shared" si="29"/>
        <v>0</v>
      </c>
      <c r="E162" s="406">
        <f t="shared" si="29"/>
        <v>0</v>
      </c>
      <c r="F162" s="406">
        <f t="shared" si="29"/>
        <v>0</v>
      </c>
      <c r="G162" s="406">
        <f t="shared" si="29"/>
        <v>0</v>
      </c>
      <c r="H162" s="406">
        <f t="shared" si="29"/>
        <v>0</v>
      </c>
    </row>
    <row r="163" spans="1:10" ht="14.45" hidden="1" x14ac:dyDescent="0.35">
      <c r="A163" s="360">
        <f t="shared" si="28"/>
        <v>0</v>
      </c>
      <c r="B163" s="406">
        <f t="shared" ref="B163:H163" si="30">B111-(B111*$G$7)</f>
        <v>0</v>
      </c>
      <c r="C163" s="406">
        <f t="shared" si="30"/>
        <v>0</v>
      </c>
      <c r="D163" s="406">
        <f t="shared" si="30"/>
        <v>0</v>
      </c>
      <c r="E163" s="406">
        <f t="shared" si="30"/>
        <v>0</v>
      </c>
      <c r="F163" s="406">
        <f t="shared" si="30"/>
        <v>0</v>
      </c>
      <c r="G163" s="406">
        <f t="shared" si="30"/>
        <v>0</v>
      </c>
      <c r="H163" s="406">
        <f t="shared" si="30"/>
        <v>0</v>
      </c>
    </row>
    <row r="164" spans="1:10" ht="14.45" hidden="1" x14ac:dyDescent="0.35">
      <c r="A164" s="360">
        <f t="shared" si="28"/>
        <v>0</v>
      </c>
      <c r="B164" s="406">
        <f t="shared" ref="B164:H165" si="31">B112-(B112*$G$7)</f>
        <v>0</v>
      </c>
      <c r="C164" s="406">
        <f t="shared" si="31"/>
        <v>0</v>
      </c>
      <c r="D164" s="406">
        <f t="shared" si="31"/>
        <v>0</v>
      </c>
      <c r="E164" s="406">
        <f t="shared" si="31"/>
        <v>0</v>
      </c>
      <c r="F164" s="406">
        <f t="shared" si="31"/>
        <v>0</v>
      </c>
      <c r="G164" s="406">
        <f t="shared" si="31"/>
        <v>0</v>
      </c>
      <c r="H164" s="406">
        <f t="shared" si="31"/>
        <v>0</v>
      </c>
    </row>
    <row r="165" spans="1:10" ht="14.45" hidden="1" x14ac:dyDescent="0.35">
      <c r="A165" s="360" t="str">
        <f t="shared" si="28"/>
        <v>Pomegranate</v>
      </c>
      <c r="B165" s="406">
        <f t="shared" si="31"/>
        <v>0</v>
      </c>
      <c r="C165" s="406">
        <f t="shared" ref="C165:H168" si="32">C113-(C113*$G$7)</f>
        <v>0</v>
      </c>
      <c r="D165" s="406">
        <f t="shared" si="32"/>
        <v>0</v>
      </c>
      <c r="E165" s="406">
        <f t="shared" si="32"/>
        <v>0</v>
      </c>
      <c r="F165" s="406">
        <f t="shared" si="32"/>
        <v>0</v>
      </c>
      <c r="G165" s="406">
        <f t="shared" si="32"/>
        <v>0</v>
      </c>
      <c r="H165" s="406">
        <f t="shared" si="32"/>
        <v>0</v>
      </c>
    </row>
    <row r="166" spans="1:10" ht="14.45" hidden="1" x14ac:dyDescent="0.35">
      <c r="A166" s="360" t="str">
        <f>A114</f>
        <v>Custard Apple</v>
      </c>
      <c r="B166" s="406">
        <f>B114-(B114*$G$7)</f>
        <v>0</v>
      </c>
      <c r="C166" s="406">
        <f t="shared" si="32"/>
        <v>0</v>
      </c>
      <c r="D166" s="406">
        <f t="shared" si="32"/>
        <v>0</v>
      </c>
      <c r="E166" s="406">
        <f t="shared" si="32"/>
        <v>0</v>
      </c>
      <c r="F166" s="406">
        <f t="shared" si="32"/>
        <v>0</v>
      </c>
      <c r="G166" s="406">
        <f t="shared" si="32"/>
        <v>0</v>
      </c>
      <c r="H166" s="406">
        <f t="shared" si="32"/>
        <v>0</v>
      </c>
    </row>
    <row r="167" spans="1:10" ht="14.45" hidden="1" x14ac:dyDescent="0.35">
      <c r="A167" s="360" t="str">
        <f>A115</f>
        <v>Guava</v>
      </c>
      <c r="B167" s="406">
        <f>B115-(B115*$G$7)</f>
        <v>0</v>
      </c>
      <c r="C167" s="406">
        <f t="shared" si="32"/>
        <v>0</v>
      </c>
      <c r="D167" s="406">
        <f t="shared" si="32"/>
        <v>0</v>
      </c>
      <c r="E167" s="406">
        <f t="shared" si="32"/>
        <v>0</v>
      </c>
      <c r="F167" s="406">
        <f t="shared" si="32"/>
        <v>0</v>
      </c>
      <c r="G167" s="406">
        <f t="shared" si="32"/>
        <v>0</v>
      </c>
      <c r="H167" s="406">
        <f t="shared" si="32"/>
        <v>0</v>
      </c>
    </row>
    <row r="168" spans="1:10" ht="14.45" hidden="1" x14ac:dyDescent="0.35">
      <c r="A168" s="360" t="str">
        <f>A116</f>
        <v>CASHEW</v>
      </c>
      <c r="B168" s="406">
        <f>B116-(B116*$G$7)</f>
        <v>0</v>
      </c>
      <c r="C168" s="406">
        <f t="shared" si="32"/>
        <v>0</v>
      </c>
      <c r="D168" s="406">
        <f t="shared" si="32"/>
        <v>0</v>
      </c>
      <c r="E168" s="406">
        <f t="shared" si="32"/>
        <v>0</v>
      </c>
      <c r="F168" s="406">
        <f t="shared" si="32"/>
        <v>0</v>
      </c>
      <c r="G168" s="406">
        <f t="shared" si="32"/>
        <v>0</v>
      </c>
      <c r="H168" s="406">
        <f t="shared" si="32"/>
        <v>0</v>
      </c>
    </row>
    <row r="169" spans="1:10" ht="14.45" x14ac:dyDescent="0.35">
      <c r="A169" s="362"/>
    </row>
    <row r="170" spans="1:10" ht="14.45" x14ac:dyDescent="0.35">
      <c r="A170" s="565" t="s">
        <v>566</v>
      </c>
      <c r="B170" s="565"/>
      <c r="C170" s="565"/>
      <c r="D170" s="565"/>
      <c r="E170" s="565"/>
      <c r="F170" s="565"/>
      <c r="G170" s="565"/>
      <c r="H170" s="565"/>
      <c r="I170" s="565"/>
      <c r="J170" s="565"/>
    </row>
    <row r="171" spans="1:10" ht="14.45" x14ac:dyDescent="0.35">
      <c r="A171" s="407"/>
      <c r="B171" s="407"/>
      <c r="C171" s="407"/>
      <c r="D171" s="407"/>
      <c r="E171" s="407"/>
      <c r="F171" s="407"/>
      <c r="G171" s="407"/>
      <c r="H171" s="407"/>
    </row>
    <row r="172" spans="1:10" ht="14.45" x14ac:dyDescent="0.35">
      <c r="A172" s="407"/>
      <c r="B172" s="407"/>
      <c r="C172" s="407"/>
      <c r="D172" s="408">
        <v>1</v>
      </c>
      <c r="E172" s="409">
        <f>(D172*5%)+D172</f>
        <v>1.05</v>
      </c>
      <c r="F172" s="409">
        <f t="shared" ref="F172:J172" si="33">(E172*5%)+E172</f>
        <v>1.1025</v>
      </c>
      <c r="G172" s="409">
        <f t="shared" si="33"/>
        <v>1.1576250000000001</v>
      </c>
      <c r="H172" s="409">
        <f t="shared" si="33"/>
        <v>1.2155062500000002</v>
      </c>
      <c r="I172" s="409">
        <f t="shared" si="33"/>
        <v>1.2762815625000004</v>
      </c>
      <c r="J172" s="409">
        <f t="shared" si="33"/>
        <v>1.3400956406250004</v>
      </c>
    </row>
    <row r="174" spans="1:10" ht="14.45" x14ac:dyDescent="0.35">
      <c r="D174" s="346"/>
      <c r="E174" s="346"/>
      <c r="F174" s="346"/>
      <c r="G174" s="346"/>
      <c r="H174" s="346"/>
      <c r="I174" s="346"/>
      <c r="J174" s="346"/>
    </row>
    <row r="175" spans="1:10" ht="14.45" x14ac:dyDescent="0.35">
      <c r="A175" s="273" t="s">
        <v>0</v>
      </c>
      <c r="B175" s="273"/>
      <c r="C175" s="273" t="s">
        <v>149</v>
      </c>
      <c r="D175" s="274" t="s">
        <v>2</v>
      </c>
      <c r="E175" s="274" t="s">
        <v>3</v>
      </c>
      <c r="F175" s="274" t="s">
        <v>4</v>
      </c>
      <c r="G175" s="274" t="s">
        <v>5</v>
      </c>
      <c r="H175" s="274" t="s">
        <v>6</v>
      </c>
      <c r="I175" s="274" t="s">
        <v>165</v>
      </c>
      <c r="J175" s="274" t="s">
        <v>164</v>
      </c>
    </row>
    <row r="176" spans="1:10" ht="14.45" x14ac:dyDescent="0.35">
      <c r="A176" s="347"/>
      <c r="B176" s="347"/>
      <c r="C176" s="347"/>
      <c r="D176" s="312"/>
      <c r="E176" s="312"/>
      <c r="F176" s="312"/>
      <c r="G176" s="312"/>
      <c r="H176" s="312"/>
      <c r="I176" s="312"/>
      <c r="J176" s="312"/>
    </row>
    <row r="177" spans="1:10" ht="14.45" x14ac:dyDescent="0.35">
      <c r="A177" s="347" t="s">
        <v>126</v>
      </c>
      <c r="B177" s="347"/>
      <c r="C177" s="347"/>
      <c r="D177" s="312"/>
      <c r="E177" s="312"/>
      <c r="F177" s="312"/>
      <c r="G177" s="312"/>
      <c r="H177" s="312"/>
      <c r="I177" s="312"/>
      <c r="J177" s="312"/>
    </row>
    <row r="178" spans="1:10" ht="14.45" hidden="1" x14ac:dyDescent="0.35">
      <c r="A178" s="312" t="str">
        <f t="shared" ref="A178:A198" si="34">A120</f>
        <v>Soybean</v>
      </c>
      <c r="B178" s="312" t="s">
        <v>355</v>
      </c>
      <c r="C178" s="382">
        <v>4000</v>
      </c>
      <c r="D178" s="410">
        <f>(B120*(1-'Stock WC'!$D$16))*C$178*D172</f>
        <v>0</v>
      </c>
      <c r="E178" s="410">
        <f>((C120*(1-'Stock WC'!$D$16))+(B120*'Stock WC'!$D$16))*$C178*E$172</f>
        <v>0</v>
      </c>
      <c r="F178" s="410">
        <f>((D120*(1-'Stock WC'!$D$16))+(C120*'Stock WC'!$D$16))*$C178*F$172</f>
        <v>0</v>
      </c>
      <c r="G178" s="410">
        <f>((E120*(1-'Stock WC'!$D$16))+(D120*'Stock WC'!$D$16))*$C178*G$172</f>
        <v>0</v>
      </c>
      <c r="H178" s="410">
        <f>((F120*(1-'Stock WC'!$D$16))+(E120*'Stock WC'!$D$16))*$C178*H$172</f>
        <v>0</v>
      </c>
      <c r="I178" s="410">
        <f>((G120*(1-'Stock WC'!$D$16))+(F120*'Stock WC'!$D$16))*$C178*I$172</f>
        <v>0</v>
      </c>
      <c r="J178" s="410">
        <f>((H120*(1-'Stock WC'!$D$16))+(G120*'Stock WC'!$D$16))*$C178*J$172</f>
        <v>0</v>
      </c>
    </row>
    <row r="179" spans="1:10" ht="14.45" hidden="1" x14ac:dyDescent="0.35">
      <c r="A179" s="312" t="str">
        <f t="shared" si="34"/>
        <v>Red Gram/Tur</v>
      </c>
      <c r="B179" s="312" t="s">
        <v>355</v>
      </c>
      <c r="C179" s="382">
        <v>6000</v>
      </c>
      <c r="D179" s="410">
        <f>(B121*(1-'Stock WC'!$D$16))*$C179*D$172</f>
        <v>0</v>
      </c>
      <c r="E179" s="410">
        <f>((C121*(1-'Stock WC'!$D$16))+(B121*'Stock WC'!$D$16))*$C179*E$172</f>
        <v>0</v>
      </c>
      <c r="F179" s="410">
        <f>((D121*(1-'Stock WC'!$D$16))+(C121*'Stock WC'!$D$16))*$C179*F$172</f>
        <v>0</v>
      </c>
      <c r="G179" s="410">
        <f>((E121*(1-'Stock WC'!$D$16))+(D121*'Stock WC'!$D$16))*$C179*G$172</f>
        <v>0</v>
      </c>
      <c r="H179" s="410">
        <f>((F121*(1-'Stock WC'!$D$16))+(E121*'Stock WC'!$D$16))*$C179*H$172</f>
        <v>0</v>
      </c>
      <c r="I179" s="410">
        <f>((G121*(1-'Stock WC'!$D$16))+(F121*'Stock WC'!$D$16))*$C179*I$172</f>
        <v>0</v>
      </c>
      <c r="J179" s="410">
        <f>((H121*(1-'Stock WC'!$D$16))+(G121*'Stock WC'!$D$16))*$C179*J$172</f>
        <v>0</v>
      </c>
    </row>
    <row r="180" spans="1:10" ht="14.45" hidden="1" x14ac:dyDescent="0.35">
      <c r="A180" s="312" t="str">
        <f t="shared" si="34"/>
        <v>Paddy/Rice</v>
      </c>
      <c r="B180" s="312" t="s">
        <v>355</v>
      </c>
      <c r="C180" s="382"/>
      <c r="D180" s="410">
        <f>(B122*(1-'Stock WC'!$D$16))*$C180*D$172</f>
        <v>0</v>
      </c>
      <c r="E180" s="410">
        <f>((C122*(1-'Stock WC'!$D$16))+(B122*'Stock WC'!$D$16))*$C180*E$172</f>
        <v>0</v>
      </c>
      <c r="F180" s="410">
        <f>((D122*(1-'Stock WC'!$D$16))+(C122*'Stock WC'!$D$16))*$C180*F$172</f>
        <v>0</v>
      </c>
      <c r="G180" s="410">
        <f>((E122*(1-'Stock WC'!$D$16))+(D122*'Stock WC'!$D$16))*$C180*G$172</f>
        <v>0</v>
      </c>
      <c r="H180" s="410">
        <f>((F122*(1-'Stock WC'!$D$16))+(E122*'Stock WC'!$D$16))*$C180*H$172</f>
        <v>0</v>
      </c>
      <c r="I180" s="410">
        <f>((G122*(1-'Stock WC'!$D$16))+(F122*'Stock WC'!$D$16))*$C180*I$172</f>
        <v>0</v>
      </c>
      <c r="J180" s="410">
        <f>((H122*(1-'Stock WC'!$D$16))+(G122*'Stock WC'!$D$16))*$C180*J$172</f>
        <v>0</v>
      </c>
    </row>
    <row r="181" spans="1:10" ht="14.45" hidden="1" x14ac:dyDescent="0.35">
      <c r="A181" s="312" t="str">
        <f t="shared" si="34"/>
        <v>Masoor/ Moong</v>
      </c>
      <c r="B181" s="312" t="s">
        <v>355</v>
      </c>
      <c r="C181" s="382">
        <v>6000</v>
      </c>
      <c r="D181" s="410">
        <f>(B123*(1-'Stock WC'!$D$16))*$C181*D$172</f>
        <v>0</v>
      </c>
      <c r="E181" s="410">
        <f>((C123*(1-'Stock WC'!$D$16))+(B123*'Stock WC'!$D$16))*$C181*E$172</f>
        <v>0</v>
      </c>
      <c r="F181" s="410">
        <f>((D123*(1-'Stock WC'!$D$16))+(C123*'Stock WC'!$D$16))*$C181*F$172</f>
        <v>0</v>
      </c>
      <c r="G181" s="410">
        <f>((E123*(1-'Stock WC'!$D$16))+(D123*'Stock WC'!$D$16))*$C181*G$172</f>
        <v>0</v>
      </c>
      <c r="H181" s="410">
        <f>((F123*(1-'Stock WC'!$D$16))+(E123*'Stock WC'!$D$16))*$C181*H$172</f>
        <v>0</v>
      </c>
      <c r="I181" s="410">
        <f>((G123*(1-'Stock WC'!$D$16))+(F123*'Stock WC'!$D$16))*$C181*I$172</f>
        <v>0</v>
      </c>
      <c r="J181" s="410">
        <f>((H123*(1-'Stock WC'!$D$16))+(G123*'Stock WC'!$D$16))*$C181*J$172</f>
        <v>0</v>
      </c>
    </row>
    <row r="182" spans="1:10" ht="14.45" hidden="1" x14ac:dyDescent="0.35">
      <c r="A182" s="312" t="str">
        <f t="shared" si="34"/>
        <v>Sweet Potato</v>
      </c>
      <c r="B182" s="312" t="s">
        <v>355</v>
      </c>
      <c r="C182" s="382"/>
      <c r="D182" s="410">
        <f>(B124*(1-'Stock WC'!$D$16))*$C182*D$172</f>
        <v>0</v>
      </c>
      <c r="E182" s="410">
        <f>((C124*(1-'Stock WC'!$D$16))+(B124*'Stock WC'!$D$16))*$C182*E$172</f>
        <v>0</v>
      </c>
      <c r="F182" s="410">
        <f>((D124*(1-'Stock WC'!$D$16))+(C124*'Stock WC'!$D$16))*$C182*F$172</f>
        <v>0</v>
      </c>
      <c r="G182" s="410">
        <f>((E124*(1-'Stock WC'!$D$16))+(D124*'Stock WC'!$D$16))*$C182*G$172</f>
        <v>0</v>
      </c>
      <c r="H182" s="410">
        <f>((F124*(1-'Stock WC'!$D$16))+(E124*'Stock WC'!$D$16))*$C182*H$172</f>
        <v>0</v>
      </c>
      <c r="I182" s="410">
        <f>((G124*(1-'Stock WC'!$D$16))+(F124*'Stock WC'!$D$16))*$C182*I$172</f>
        <v>0</v>
      </c>
      <c r="J182" s="410">
        <f>((H124*(1-'Stock WC'!$D$16))+(G124*'Stock WC'!$D$16))*$C182*J$172</f>
        <v>0</v>
      </c>
    </row>
    <row r="183" spans="1:10" ht="14.45" hidden="1" x14ac:dyDescent="0.35">
      <c r="A183" s="312" t="str">
        <f t="shared" si="34"/>
        <v>Black Gram/Udid</v>
      </c>
      <c r="B183" s="312" t="s">
        <v>355</v>
      </c>
      <c r="C183" s="382">
        <v>6500</v>
      </c>
      <c r="D183" s="410">
        <f>(B125*(1-'Stock WC'!$D$16))*$C183*D$172</f>
        <v>0</v>
      </c>
      <c r="E183" s="410">
        <f>((C125*(1-'Stock WC'!$D$16))+(B125*'Stock WC'!$D$16))*$C183*E$172</f>
        <v>0</v>
      </c>
      <c r="F183" s="410">
        <f>((D125*(1-'Stock WC'!$D$16))+(C125*'Stock WC'!$D$16))*$C183*F$172</f>
        <v>0</v>
      </c>
      <c r="G183" s="410">
        <f>((E125*(1-'Stock WC'!$D$16))+(D125*'Stock WC'!$D$16))*$C183*G$172</f>
        <v>0</v>
      </c>
      <c r="H183" s="410">
        <f>((F125*(1-'Stock WC'!$D$16))+(E125*'Stock WC'!$D$16))*$C183*H$172</f>
        <v>0</v>
      </c>
      <c r="I183" s="410">
        <f>((G125*(1-'Stock WC'!$D$16))+(F125*'Stock WC'!$D$16))*$C183*I$172</f>
        <v>0</v>
      </c>
      <c r="J183" s="410">
        <f>((H125*(1-'Stock WC'!$D$16))+(G125*'Stock WC'!$D$16))*$C183*J$172</f>
        <v>0</v>
      </c>
    </row>
    <row r="184" spans="1:10" ht="14.45" hidden="1" x14ac:dyDescent="0.35">
      <c r="A184" s="312" t="str">
        <f t="shared" si="34"/>
        <v>RAGI</v>
      </c>
      <c r="B184" s="312" t="s">
        <v>355</v>
      </c>
      <c r="C184" s="382">
        <v>3500</v>
      </c>
      <c r="D184" s="410">
        <f>(B126*(1-'Stock WC'!$D$16))*$C184*D$172</f>
        <v>0</v>
      </c>
      <c r="E184" s="410">
        <f>((C126*(1-'Stock WC'!$D$16))+(B126*'Stock WC'!$D$16))*$C184*E$172</f>
        <v>0</v>
      </c>
      <c r="F184" s="410">
        <v>0</v>
      </c>
      <c r="G184" s="410">
        <v>0</v>
      </c>
      <c r="H184" s="410">
        <v>0</v>
      </c>
      <c r="I184" s="410">
        <v>0</v>
      </c>
      <c r="J184" s="410">
        <v>0</v>
      </c>
    </row>
    <row r="185" spans="1:10" ht="14.45" hidden="1" x14ac:dyDescent="0.35">
      <c r="A185" s="312" t="str">
        <f t="shared" si="34"/>
        <v>Jawar</v>
      </c>
      <c r="B185" s="312" t="s">
        <v>355</v>
      </c>
      <c r="C185" s="382"/>
      <c r="D185" s="410">
        <f>(B127*(1-'Stock WC'!$D$16))*$C185*D$172</f>
        <v>0</v>
      </c>
      <c r="E185" s="410">
        <f>((C127*(1-'Stock WC'!$D$16))+(B127*'Stock WC'!$D$16))*$C185*E$172</f>
        <v>0</v>
      </c>
      <c r="F185" s="410">
        <f>((D127*(1-'Stock WC'!$D$16))+(C127*'Stock WC'!$D$16))*$C185*F$172</f>
        <v>0</v>
      </c>
      <c r="G185" s="410">
        <f>((E127*(1-'Stock WC'!$D$16))+(D127*'Stock WC'!$D$16))*$C185*G$172</f>
        <v>0</v>
      </c>
      <c r="H185" s="410">
        <f>((F127*(1-'Stock WC'!$D$16))+(E127*'Stock WC'!$D$16))*$C185*H$172</f>
        <v>0</v>
      </c>
      <c r="I185" s="410">
        <f>((G127*(1-'Stock WC'!$D$16))+(F127*'Stock WC'!$D$16))*$C185*I$172</f>
        <v>0</v>
      </c>
      <c r="J185" s="410">
        <f>((H127*(1-'Stock WC'!$D$16))+(G127*'Stock WC'!$D$16))*$C185*J$172</f>
        <v>0</v>
      </c>
    </row>
    <row r="186" spans="1:10" ht="14.45" hidden="1" x14ac:dyDescent="0.35">
      <c r="A186" s="312" t="str">
        <f t="shared" si="34"/>
        <v>Sunflower</v>
      </c>
      <c r="B186" s="312" t="s">
        <v>355</v>
      </c>
      <c r="C186" s="382"/>
      <c r="D186" s="410">
        <f>(B128*(1-'Stock WC'!$D$16))*$C186*D$172</f>
        <v>0</v>
      </c>
      <c r="E186" s="410">
        <f>((C128*(1-'Stock WC'!$D$16))+(B128*'Stock WC'!$D$16))*$C186*E$172</f>
        <v>0</v>
      </c>
      <c r="F186" s="410">
        <f>((D128*(1-'Stock WC'!$D$16))+(C128*'Stock WC'!$D$16))*$C186*F$172</f>
        <v>0</v>
      </c>
      <c r="G186" s="410">
        <f>((E128*(1-'Stock WC'!$D$16))+(D128*'Stock WC'!$D$16))*$C186*G$172</f>
        <v>0</v>
      </c>
      <c r="H186" s="410">
        <f>((F128*(1-'Stock WC'!$D$16))+(E128*'Stock WC'!$D$16))*$C186*H$172</f>
        <v>0</v>
      </c>
      <c r="I186" s="410">
        <f>((G128*(1-'Stock WC'!$D$16))+(F128*'Stock WC'!$D$16))*$C186*I$172</f>
        <v>0</v>
      </c>
      <c r="J186" s="410">
        <f>((H128*(1-'Stock WC'!$D$16))+(G128*'Stock WC'!$D$16))*$C186*J$172</f>
        <v>0</v>
      </c>
    </row>
    <row r="187" spans="1:10" ht="14.45" hidden="1" x14ac:dyDescent="0.35">
      <c r="A187" s="312" t="str">
        <f t="shared" si="34"/>
        <v>Wheat</v>
      </c>
      <c r="B187" s="312" t="s">
        <v>355</v>
      </c>
      <c r="C187" s="382"/>
      <c r="D187" s="410">
        <f>(B129*(1-'Stock WC'!$D$16))*$C187*D$172</f>
        <v>0</v>
      </c>
      <c r="E187" s="410">
        <f>((C129*(1-'Stock WC'!$D$16))+(B129*'Stock WC'!$D$16))*$C187*E$172</f>
        <v>0</v>
      </c>
      <c r="F187" s="410">
        <f>((D129*(1-'Stock WC'!$D$16))+(C129*'Stock WC'!$D$16))*$C187*F$172</f>
        <v>0</v>
      </c>
      <c r="G187" s="410">
        <f>((E129*(1-'Stock WC'!$D$16))+(D129*'Stock WC'!$D$16))*$C187*G$172</f>
        <v>0</v>
      </c>
      <c r="H187" s="410">
        <f>((F129*(1-'Stock WC'!$D$16))+(E129*'Stock WC'!$D$16))*$C187*H$172</f>
        <v>0</v>
      </c>
      <c r="I187" s="410">
        <f>((G129*(1-'Stock WC'!$D$16))+(F129*'Stock WC'!$D$16))*$C187*I$172</f>
        <v>0</v>
      </c>
      <c r="J187" s="410">
        <f>((H129*(1-'Stock WC'!$D$16))+(G129*'Stock WC'!$D$16))*$C187*J$172</f>
        <v>0</v>
      </c>
    </row>
    <row r="188" spans="1:10" ht="14.45" hidden="1" x14ac:dyDescent="0.35">
      <c r="A188" s="312" t="str">
        <f t="shared" si="34"/>
        <v>Bengal Gram/Channa</v>
      </c>
      <c r="B188" s="312" t="s">
        <v>355</v>
      </c>
      <c r="C188" s="382">
        <v>5000</v>
      </c>
      <c r="D188" s="410">
        <f>(B130*(1-'Stock WC'!$D$16))*$C188*D$172</f>
        <v>0</v>
      </c>
      <c r="E188" s="410">
        <f>((C130*(1-'Stock WC'!$D$16))+(B130*'Stock WC'!$D$16))*$C188*E$172</f>
        <v>0</v>
      </c>
      <c r="F188" s="410">
        <f>((D130*(1-'Stock WC'!$D$16))+(C130*'Stock WC'!$D$16))*$C188*F$172</f>
        <v>0</v>
      </c>
      <c r="G188" s="410">
        <f>((E130*(1-'Stock WC'!$D$16))+(D130*'Stock WC'!$D$16))*$C188*G$172</f>
        <v>0</v>
      </c>
      <c r="H188" s="410">
        <f>((F130*(1-'Stock WC'!$D$16))+(E130*'Stock WC'!$D$16))*$C188*H$172</f>
        <v>0</v>
      </c>
      <c r="I188" s="410">
        <f>((G130*(1-'Stock WC'!$D$16))+(F130*'Stock WC'!$D$16))*$C188*I$172</f>
        <v>0</v>
      </c>
      <c r="J188" s="410">
        <f>((H130*(1-'Stock WC'!$D$16))+(G130*'Stock WC'!$D$16))*$C188*J$172</f>
        <v>0</v>
      </c>
    </row>
    <row r="189" spans="1:10" ht="14.45" hidden="1" x14ac:dyDescent="0.35">
      <c r="A189" s="312" t="str">
        <f t="shared" si="34"/>
        <v>Jawar</v>
      </c>
      <c r="B189" s="312" t="s">
        <v>355</v>
      </c>
      <c r="C189" s="382"/>
      <c r="D189" s="410">
        <f>(B131*(1-'Stock WC'!$D$16))*$C189*D$172</f>
        <v>0</v>
      </c>
      <c r="E189" s="410">
        <f>((C131*(1-'Stock WC'!$D$16))+(B131*'Stock WC'!$D$16))*$C189*E$172</f>
        <v>0</v>
      </c>
      <c r="F189" s="410">
        <f>((D131*(1-'Stock WC'!$D$16))+(C131*'Stock WC'!$D$16))*$C189*F$172</f>
        <v>0</v>
      </c>
      <c r="G189" s="410">
        <f>((E131*(1-'Stock WC'!$D$16))+(D131*'Stock WC'!$D$16))*$C189*G$172</f>
        <v>0</v>
      </c>
      <c r="H189" s="410">
        <f>((F131*(1-'Stock WC'!$D$16))+(E131*'Stock WC'!$D$16))*$C189*H$172</f>
        <v>0</v>
      </c>
      <c r="I189" s="410">
        <f>((G131*(1-'Stock WC'!$D$16))+(F131*'Stock WC'!$D$16))*$C189*I$172</f>
        <v>0</v>
      </c>
      <c r="J189" s="410">
        <f>((H131*(1-'Stock WC'!$D$16))+(G131*'Stock WC'!$D$16))*$C189*J$172</f>
        <v>0</v>
      </c>
    </row>
    <row r="190" spans="1:10" ht="14.45" hidden="1" x14ac:dyDescent="0.35">
      <c r="A190" s="312" t="str">
        <f t="shared" si="34"/>
        <v>Sweet Potato</v>
      </c>
      <c r="B190" s="312" t="s">
        <v>355</v>
      </c>
      <c r="C190" s="382"/>
      <c r="D190" s="410">
        <f>(B132*(1-'Stock WC'!$D$16))*$C190*D$172</f>
        <v>0</v>
      </c>
      <c r="E190" s="410">
        <f>((C132*(1-'Stock WC'!$D$16))+(B132*'Stock WC'!$D$16))*$C190*E$172</f>
        <v>0</v>
      </c>
      <c r="F190" s="410">
        <f>((D132*(1-'Stock WC'!$D$16))+(C132*'Stock WC'!$D$16))*$C190*F$172</f>
        <v>0</v>
      </c>
      <c r="G190" s="410">
        <f>((E132*(1-'Stock WC'!$D$16))+(D132*'Stock WC'!$D$16))*$C190*G$172</f>
        <v>0</v>
      </c>
      <c r="H190" s="410">
        <f>((F132*(1-'Stock WC'!$D$16))+(E132*'Stock WC'!$D$16))*$C190*H$172</f>
        <v>0</v>
      </c>
      <c r="I190" s="410">
        <f>((G132*(1-'Stock WC'!$D$16))+(F132*'Stock WC'!$D$16))*$C190*I$172</f>
        <v>0</v>
      </c>
      <c r="J190" s="410">
        <f>((H132*(1-'Stock WC'!$D$16))+(G132*'Stock WC'!$D$16))*$C190*J$172</f>
        <v>0</v>
      </c>
    </row>
    <row r="191" spans="1:10" ht="14.45" hidden="1" x14ac:dyDescent="0.35">
      <c r="A191" s="312" t="str">
        <f t="shared" si="34"/>
        <v>Safflower</v>
      </c>
      <c r="B191" s="312" t="s">
        <v>355</v>
      </c>
      <c r="C191" s="382"/>
      <c r="D191" s="410">
        <f>(B133*(1-'Stock WC'!$D$16))*$C191*D$172</f>
        <v>0</v>
      </c>
      <c r="E191" s="410">
        <f>((C133*(1-'Stock WC'!$D$16))+(B133*'Stock WC'!$D$16))*$C191*E$172</f>
        <v>0</v>
      </c>
      <c r="F191" s="410">
        <f>((D133*(1-'Stock WC'!$D$16))+(C133*'Stock WC'!$D$16))*$C191*F$172</f>
        <v>0</v>
      </c>
      <c r="G191" s="410">
        <f>((E133*(1-'Stock WC'!$D$16))+(D133*'Stock WC'!$D$16))*$C191*G$172</f>
        <v>0</v>
      </c>
      <c r="H191" s="410">
        <f>((F133*(1-'Stock WC'!$D$16))+(E133*'Stock WC'!$D$16))*$C191*H$172</f>
        <v>0</v>
      </c>
      <c r="I191" s="410">
        <f>((G133*(1-'Stock WC'!$D$16))+(F133*'Stock WC'!$D$16))*$C191*I$172</f>
        <v>0</v>
      </c>
      <c r="J191" s="410">
        <f>((H133*(1-'Stock WC'!$D$16))+(G133*'Stock WC'!$D$16))*$C191*J$172</f>
        <v>0</v>
      </c>
    </row>
    <row r="192" spans="1:10" ht="14.45" hidden="1" x14ac:dyDescent="0.35">
      <c r="A192" s="312">
        <f t="shared" si="34"/>
        <v>0</v>
      </c>
      <c r="B192" s="312" t="s">
        <v>355</v>
      </c>
      <c r="C192" s="382"/>
      <c r="D192" s="410">
        <f>(B134*(1-'Stock WC'!$D$16))*$C192*D$172</f>
        <v>0</v>
      </c>
      <c r="E192" s="410">
        <f>((C134*(1-'Stock WC'!$D$16))+(B134*'Stock WC'!$D$16))*$C192*E$172</f>
        <v>0</v>
      </c>
      <c r="F192" s="410">
        <f>((D134*(1-'Stock WC'!$D$16))+(C134*'Stock WC'!$D$16))*$C192*F$172</f>
        <v>0</v>
      </c>
      <c r="G192" s="410">
        <f>((E134*(1-'Stock WC'!$D$16))+(D134*'Stock WC'!$D$16))*$C192*G$172</f>
        <v>0</v>
      </c>
      <c r="H192" s="410">
        <f>((F134*(1-'Stock WC'!$D$16))+(E134*'Stock WC'!$D$16))*$C192*H$172</f>
        <v>0</v>
      </c>
      <c r="I192" s="410">
        <f>((G134*(1-'Stock WC'!$D$16))+(F134*'Stock WC'!$D$16))*$C192*I$172</f>
        <v>0</v>
      </c>
      <c r="J192" s="410">
        <f>((H134*(1-'Stock WC'!$D$16))+(G134*'Stock WC'!$D$16))*$C192*J$172</f>
        <v>0</v>
      </c>
    </row>
    <row r="193" spans="1:10" ht="14.45" hidden="1" x14ac:dyDescent="0.35">
      <c r="A193" s="312">
        <f t="shared" si="34"/>
        <v>0</v>
      </c>
      <c r="B193" s="312" t="s">
        <v>355</v>
      </c>
      <c r="C193" s="382"/>
      <c r="D193" s="410">
        <f>(B135*(1-'Stock WC'!$D$16))*$C193*D$172</f>
        <v>0</v>
      </c>
      <c r="E193" s="410">
        <f>((C135*(1-'Stock WC'!$D$16))+(B135*'Stock WC'!$D$16))*$C193*E$172</f>
        <v>0</v>
      </c>
      <c r="F193" s="410">
        <f>((D135*(1-'Stock WC'!$D$16))+(C135*'Stock WC'!$D$16))*$C193*F$172</f>
        <v>0</v>
      </c>
      <c r="G193" s="410">
        <f>((E135*(1-'Stock WC'!$D$16))+(D135*'Stock WC'!$D$16))*$C193*G$172</f>
        <v>0</v>
      </c>
      <c r="H193" s="410">
        <f>((F135*(1-'Stock WC'!$D$16))+(E135*'Stock WC'!$D$16))*$C193*H$172</f>
        <v>0</v>
      </c>
      <c r="I193" s="410">
        <f>((G135*(1-'Stock WC'!$D$16))+(F135*'Stock WC'!$D$16))*$C193*I$172</f>
        <v>0</v>
      </c>
      <c r="J193" s="410">
        <f>((H135*(1-'Stock WC'!$D$16))+(G135*'Stock WC'!$D$16))*$C193*J$172</f>
        <v>0</v>
      </c>
    </row>
    <row r="194" spans="1:10" ht="14.45" hidden="1" x14ac:dyDescent="0.35">
      <c r="A194" s="312">
        <f t="shared" si="34"/>
        <v>0</v>
      </c>
      <c r="B194" s="312" t="s">
        <v>355</v>
      </c>
      <c r="C194" s="382"/>
      <c r="D194" s="410">
        <f>(B136*(1-'Stock WC'!$D$16))*$C194*D$172</f>
        <v>0</v>
      </c>
      <c r="E194" s="410">
        <f>((C136*(1-'Stock WC'!$D$16))+(B136*'Stock WC'!$D$16))*$C194*E$172</f>
        <v>0</v>
      </c>
      <c r="F194" s="410">
        <f>((D136*(1-'Stock WC'!$D$16))+(C136*'Stock WC'!$D$16))*$C194*F$172</f>
        <v>0</v>
      </c>
      <c r="G194" s="410">
        <f>((E136*(1-'Stock WC'!$D$16))+(D136*'Stock WC'!$D$16))*$C194*G$172</f>
        <v>0</v>
      </c>
      <c r="H194" s="410">
        <f>((F136*(1-'Stock WC'!$D$16))+(E136*'Stock WC'!$D$16))*$C194*H$172</f>
        <v>0</v>
      </c>
      <c r="I194" s="410">
        <f>((G136*(1-'Stock WC'!$D$16))+(F136*'Stock WC'!$D$16))*$C194*I$172</f>
        <v>0</v>
      </c>
      <c r="J194" s="410">
        <f>((H136*(1-'Stock WC'!$D$16))+(G136*'Stock WC'!$D$16))*$C194*J$172</f>
        <v>0</v>
      </c>
    </row>
    <row r="195" spans="1:10" ht="14.45" hidden="1" x14ac:dyDescent="0.35">
      <c r="A195" s="312" t="str">
        <f t="shared" si="34"/>
        <v>Groundnut</v>
      </c>
      <c r="B195" s="312" t="s">
        <v>355</v>
      </c>
      <c r="C195" s="382"/>
      <c r="D195" s="410">
        <f>(B137*(1-'Stock WC'!$D$16))*$C195*D$172</f>
        <v>0</v>
      </c>
      <c r="E195" s="410">
        <f>((C137*(1-'Stock WC'!$D$16))+(B137*'Stock WC'!$D$16))*$C195*E$172</f>
        <v>0</v>
      </c>
      <c r="F195" s="410">
        <f>((D137*(1-'Stock WC'!$D$16))+(C137*'Stock WC'!$D$16))*$C195*F$172</f>
        <v>0</v>
      </c>
      <c r="G195" s="410">
        <f>((E137*(1-'Stock WC'!$D$16))+(D137*'Stock WC'!$D$16))*$C195*G$172</f>
        <v>0</v>
      </c>
      <c r="H195" s="410">
        <f>((F137*(1-'Stock WC'!$D$16))+(E137*'Stock WC'!$D$16))*$C195*H$172</f>
        <v>0</v>
      </c>
      <c r="I195" s="410">
        <f>((G137*(1-'Stock WC'!$D$16))+(F137*'Stock WC'!$D$16))*$C195*I$172</f>
        <v>0</v>
      </c>
      <c r="J195" s="410">
        <f>((H137*(1-'Stock WC'!$D$16))+(G137*'Stock WC'!$D$16))*$C195*J$172</f>
        <v>0</v>
      </c>
    </row>
    <row r="196" spans="1:10" ht="14.45" x14ac:dyDescent="0.35">
      <c r="A196" s="312" t="s">
        <v>1063</v>
      </c>
      <c r="B196" s="312" t="s">
        <v>355</v>
      </c>
      <c r="C196" s="381">
        <v>3800</v>
      </c>
      <c r="D196" s="410">
        <f>(B138*(1-'Stock WC'!$D$16))*$C196*D$172</f>
        <v>19676021.818844162</v>
      </c>
      <c r="E196" s="410">
        <f>((C138*(1-'Stock WC'!$D$16))+(B138*'Stock WC'!$D$16))*$C196*E$172</f>
        <v>22590159.898832068</v>
      </c>
      <c r="F196" s="410">
        <f>((D138*(1-'Stock WC'!$D$16))+(C138*'Stock WC'!$D$16))*$C196*F$172</f>
        <v>25545662.342870947</v>
      </c>
      <c r="G196" s="410">
        <f>((E138*(1-'Stock WC'!$D$16))+(D138*'Stock WC'!$D$16))*$C196*G$172</f>
        <v>28740239.631566651</v>
      </c>
      <c r="H196" s="410">
        <f>((F138*(1-'Stock WC'!$D$16))+(E138*'Stock WC'!$D$16))*$C196*H$172</f>
        <v>32190410.493274741</v>
      </c>
      <c r="I196" s="410">
        <f>((G138*(1-'Stock WC'!$D$16))+(F138*'Stock WC'!$D$16))*$C196*I$172</f>
        <v>35913747.842074722</v>
      </c>
      <c r="J196" s="410">
        <f>((H138*(1-'Stock WC'!$D$16))+(G138*'Stock WC'!$D$16))*$C196*J$172</f>
        <v>39928942.899521515</v>
      </c>
    </row>
    <row r="197" spans="1:10" ht="14.45" x14ac:dyDescent="0.35">
      <c r="A197" s="312" t="s">
        <v>1307</v>
      </c>
      <c r="B197" s="312" t="s">
        <v>1298</v>
      </c>
      <c r="C197" s="381">
        <v>45</v>
      </c>
      <c r="D197" s="410">
        <f>(B139*(1-'Stock WC'!$D$16))*$C197*D$172*100</f>
        <v>9985950.9230976012</v>
      </c>
      <c r="E197" s="410">
        <f>(C139*(1-'Stock WC'!$D$16))*$C197*E$172*100</f>
        <v>11359019.175023522</v>
      </c>
      <c r="F197" s="410">
        <f>(D139*(1-'Stock WC'!$D$16))*$C197*F$172*100</f>
        <v>12844429.37483429</v>
      </c>
      <c r="G197" s="410">
        <f>(E139*(1-'Stock WC'!$D$16))*$C197*G$172*100</f>
        <v>14449983.046688579</v>
      </c>
      <c r="H197" s="410">
        <f>(F139*(1-'Stock WC'!$D$16))*$C197*H$172*100</f>
        <v>16183981.012291212</v>
      </c>
      <c r="I197" s="410">
        <f>(G139*(1-'Stock WC'!$D$16))*$C197*I$172*100</f>
        <v>18055253.816837385</v>
      </c>
      <c r="J197" s="410">
        <f>(H139*(1-'Stock WC'!$D$16))*$C197*J$172*100</f>
        <v>20073193.949307449</v>
      </c>
    </row>
    <row r="198" spans="1:10" ht="14.45" hidden="1" x14ac:dyDescent="0.35">
      <c r="A198" s="312">
        <f t="shared" si="34"/>
        <v>0</v>
      </c>
      <c r="B198" s="312" t="s">
        <v>355</v>
      </c>
      <c r="C198" s="382"/>
      <c r="D198" s="410">
        <f>(B140*(1-'Stock WC'!$D$16))*$C198*D$172</f>
        <v>0</v>
      </c>
      <c r="E198" s="410">
        <f>((C140*(1-'Stock WC'!$D$16))+(B140*'Stock WC'!$D$16))*$C198*E$172</f>
        <v>0</v>
      </c>
      <c r="F198" s="410">
        <f>((D140*(1-'Stock WC'!$D$16))+(C140*'Stock WC'!$D$16))*$C198*F$172</f>
        <v>0</v>
      </c>
      <c r="G198" s="410">
        <f>((E140*(1-'Stock WC'!$D$16))+(D140*'Stock WC'!$D$16))*$C198*G$172</f>
        <v>0</v>
      </c>
      <c r="H198" s="410">
        <f>((F140*(1-'Stock WC'!$D$16))+(E140*'Stock WC'!$D$16))*$C198*H$172</f>
        <v>0</v>
      </c>
      <c r="I198" s="410">
        <f>((G140*(1-'Stock WC'!$D$16))+(F140*'Stock WC'!$D$16))*$C198*I$172</f>
        <v>0</v>
      </c>
      <c r="J198" s="410">
        <f>((H140*(1-'Stock WC'!$D$16))+(G140*'Stock WC'!$D$16))*$C198*J$172</f>
        <v>0</v>
      </c>
    </row>
    <row r="199" spans="1:10" ht="14.45" hidden="1" x14ac:dyDescent="0.35">
      <c r="A199" s="312"/>
      <c r="B199" s="312" t="s">
        <v>355</v>
      </c>
      <c r="C199" s="382"/>
      <c r="D199" s="410">
        <f>(B141*(1-'Stock WC'!$D$16))*$C199*D$172</f>
        <v>0</v>
      </c>
      <c r="E199" s="410">
        <f>((C141*(1-'Stock WC'!$D$16))+(B141*'Stock WC'!$D$16))*$C199*E$172</f>
        <v>0</v>
      </c>
      <c r="F199" s="410">
        <f>((D141*(1-'Stock WC'!$D$16))+(C141*'Stock WC'!$D$16))*$C199*F$172</f>
        <v>0</v>
      </c>
      <c r="G199" s="410">
        <f>((E141*(1-'Stock WC'!$D$16))+(D141*'Stock WC'!$D$16))*$C199*G$172</f>
        <v>0</v>
      </c>
      <c r="H199" s="410">
        <f>((F141*(1-'Stock WC'!$D$16))+(E141*'Stock WC'!$D$16))*$C199*H$172</f>
        <v>0</v>
      </c>
      <c r="I199" s="410">
        <f>((G141*(1-'Stock WC'!$D$16))+(F141*'Stock WC'!$D$16))*$C199*I$172</f>
        <v>0</v>
      </c>
      <c r="J199" s="410">
        <f>((H141*(1-'Stock WC'!$D$16))+(G141*'Stock WC'!$D$16))*$C199*J$172</f>
        <v>0</v>
      </c>
    </row>
    <row r="200" spans="1:10" ht="14.45" hidden="1" x14ac:dyDescent="0.35">
      <c r="A200" s="347" t="s">
        <v>289</v>
      </c>
      <c r="B200" s="312" t="s">
        <v>355</v>
      </c>
      <c r="C200" s="369">
        <v>50</v>
      </c>
      <c r="D200" s="410"/>
      <c r="E200" s="410"/>
      <c r="F200" s="410"/>
      <c r="G200" s="410"/>
      <c r="H200" s="410"/>
      <c r="I200" s="410"/>
      <c r="J200" s="410"/>
    </row>
    <row r="201" spans="1:10" ht="14.45" hidden="1" x14ac:dyDescent="0.35">
      <c r="A201" s="347"/>
      <c r="B201" s="347"/>
      <c r="C201" s="347"/>
      <c r="D201" s="312"/>
      <c r="E201" s="312"/>
      <c r="F201" s="312"/>
      <c r="G201" s="312"/>
      <c r="H201" s="312"/>
      <c r="I201" s="312"/>
      <c r="J201" s="312"/>
    </row>
    <row r="202" spans="1:10" ht="14.45" hidden="1" x14ac:dyDescent="0.35">
      <c r="A202" s="347" t="str">
        <f t="shared" ref="A202:A220" si="35">A143</f>
        <v>Fruit  &amp; Vegetables Crop Production Details</v>
      </c>
      <c r="B202" s="347"/>
      <c r="C202" s="347"/>
      <c r="D202" s="312"/>
      <c r="E202" s="312"/>
      <c r="F202" s="312"/>
      <c r="G202" s="312"/>
      <c r="H202" s="312"/>
      <c r="I202" s="312"/>
      <c r="J202" s="312"/>
    </row>
    <row r="203" spans="1:10" ht="14.45" hidden="1" x14ac:dyDescent="0.35">
      <c r="A203" s="347" t="str">
        <f t="shared" si="35"/>
        <v>Onion</v>
      </c>
      <c r="B203" s="312" t="s">
        <v>355</v>
      </c>
      <c r="C203" s="411">
        <v>2000</v>
      </c>
      <c r="D203" s="410"/>
      <c r="E203" s="410"/>
      <c r="F203" s="410"/>
      <c r="G203" s="410"/>
      <c r="H203" s="410"/>
      <c r="I203" s="410"/>
      <c r="J203" s="410"/>
    </row>
    <row r="204" spans="1:10" ht="14.45" hidden="1" x14ac:dyDescent="0.35">
      <c r="A204" s="347" t="str">
        <f t="shared" si="35"/>
        <v>Tomato</v>
      </c>
      <c r="B204" s="312" t="s">
        <v>355</v>
      </c>
      <c r="C204" s="382">
        <v>1000</v>
      </c>
      <c r="D204" s="410"/>
      <c r="E204" s="410"/>
      <c r="F204" s="410"/>
      <c r="G204" s="410"/>
      <c r="H204" s="410"/>
      <c r="I204" s="410"/>
      <c r="J204" s="410"/>
    </row>
    <row r="205" spans="1:10" ht="14.45" hidden="1" x14ac:dyDescent="0.35">
      <c r="A205" s="347" t="str">
        <f t="shared" si="35"/>
        <v>Okra</v>
      </c>
      <c r="B205" s="312" t="s">
        <v>355</v>
      </c>
      <c r="C205" s="382">
        <v>1500</v>
      </c>
      <c r="D205" s="410"/>
      <c r="E205" s="410"/>
      <c r="F205" s="410"/>
      <c r="G205" s="410"/>
      <c r="H205" s="410"/>
      <c r="I205" s="410"/>
      <c r="J205" s="410"/>
    </row>
    <row r="206" spans="1:10" ht="14.45" hidden="1" x14ac:dyDescent="0.35">
      <c r="A206" s="347" t="str">
        <f t="shared" si="35"/>
        <v>Chilli</v>
      </c>
      <c r="B206" s="312" t="s">
        <v>355</v>
      </c>
      <c r="C206" s="382">
        <v>3000</v>
      </c>
      <c r="D206" s="410"/>
      <c r="E206" s="410"/>
      <c r="F206" s="410"/>
      <c r="G206" s="410"/>
      <c r="H206" s="410"/>
      <c r="I206" s="410"/>
      <c r="J206" s="410"/>
    </row>
    <row r="207" spans="1:10" ht="14.45" hidden="1" x14ac:dyDescent="0.35">
      <c r="A207" s="347" t="str">
        <f t="shared" si="35"/>
        <v>Potato</v>
      </c>
      <c r="B207" s="312" t="s">
        <v>355</v>
      </c>
      <c r="C207" s="382">
        <v>1500</v>
      </c>
      <c r="D207" s="410"/>
      <c r="E207" s="410"/>
      <c r="F207" s="410"/>
      <c r="G207" s="410"/>
      <c r="H207" s="410"/>
      <c r="I207" s="410"/>
      <c r="J207" s="410"/>
    </row>
    <row r="208" spans="1:10" ht="14.45" hidden="1" x14ac:dyDescent="0.35">
      <c r="A208" s="347" t="str">
        <f t="shared" si="35"/>
        <v>SWEET POTATO</v>
      </c>
      <c r="B208" s="312" t="s">
        <v>355</v>
      </c>
      <c r="C208" s="369"/>
      <c r="D208" s="410"/>
      <c r="E208" s="410"/>
      <c r="F208" s="410"/>
      <c r="G208" s="410"/>
      <c r="H208" s="410"/>
      <c r="I208" s="410"/>
      <c r="J208" s="410"/>
    </row>
    <row r="209" spans="1:10" ht="14.45" hidden="1" x14ac:dyDescent="0.35">
      <c r="A209" s="347">
        <f t="shared" si="35"/>
        <v>0</v>
      </c>
      <c r="B209" s="312" t="s">
        <v>355</v>
      </c>
      <c r="C209" s="369"/>
      <c r="D209" s="410"/>
      <c r="E209" s="410"/>
      <c r="F209" s="410"/>
      <c r="G209" s="410"/>
      <c r="H209" s="410"/>
      <c r="I209" s="410"/>
      <c r="J209" s="410"/>
    </row>
    <row r="210" spans="1:10" ht="14.45" hidden="1" x14ac:dyDescent="0.35">
      <c r="A210" s="347">
        <f t="shared" si="35"/>
        <v>0</v>
      </c>
      <c r="B210" s="312" t="s">
        <v>355</v>
      </c>
      <c r="C210" s="369"/>
      <c r="D210" s="410"/>
      <c r="E210" s="410"/>
      <c r="F210" s="410"/>
      <c r="G210" s="410"/>
      <c r="H210" s="410"/>
      <c r="I210" s="410"/>
      <c r="J210" s="410"/>
    </row>
    <row r="211" spans="1:10" ht="14.45" hidden="1" x14ac:dyDescent="0.35">
      <c r="A211" s="347">
        <f t="shared" si="35"/>
        <v>0</v>
      </c>
      <c r="B211" s="312" t="s">
        <v>355</v>
      </c>
      <c r="C211" s="369"/>
      <c r="D211" s="410"/>
      <c r="E211" s="410"/>
      <c r="F211" s="410"/>
      <c r="G211" s="410"/>
      <c r="H211" s="410"/>
      <c r="I211" s="410"/>
      <c r="J211" s="410"/>
    </row>
    <row r="212" spans="1:10" ht="14.45" hidden="1" x14ac:dyDescent="0.35">
      <c r="A212" s="347" t="str">
        <f t="shared" si="35"/>
        <v>Onion</v>
      </c>
      <c r="B212" s="312" t="s">
        <v>355</v>
      </c>
      <c r="C212" s="382">
        <v>2000</v>
      </c>
      <c r="D212" s="410"/>
      <c r="E212" s="410"/>
      <c r="F212" s="410"/>
      <c r="G212" s="410"/>
      <c r="H212" s="410"/>
      <c r="I212" s="410"/>
      <c r="J212" s="410"/>
    </row>
    <row r="213" spans="1:10" ht="14.45" hidden="1" x14ac:dyDescent="0.35">
      <c r="A213" s="347" t="str">
        <f t="shared" si="35"/>
        <v>Tomato</v>
      </c>
      <c r="B213" s="312" t="s">
        <v>355</v>
      </c>
      <c r="C213" s="382">
        <v>1000</v>
      </c>
      <c r="D213" s="410"/>
      <c r="E213" s="410"/>
      <c r="F213" s="410"/>
      <c r="G213" s="410"/>
      <c r="H213" s="410"/>
      <c r="I213" s="410"/>
      <c r="J213" s="410"/>
    </row>
    <row r="214" spans="1:10" ht="14.45" hidden="1" x14ac:dyDescent="0.35">
      <c r="A214" s="347" t="str">
        <f t="shared" si="35"/>
        <v>Okra</v>
      </c>
      <c r="B214" s="312" t="s">
        <v>355</v>
      </c>
      <c r="C214" s="382">
        <v>1500</v>
      </c>
      <c r="D214" s="410"/>
      <c r="E214" s="410"/>
      <c r="F214" s="410"/>
      <c r="G214" s="410"/>
      <c r="H214" s="410"/>
      <c r="I214" s="410"/>
      <c r="J214" s="410"/>
    </row>
    <row r="215" spans="1:10" ht="14.45" hidden="1" x14ac:dyDescent="0.35">
      <c r="A215" s="347" t="str">
        <f t="shared" si="35"/>
        <v>Chilli</v>
      </c>
      <c r="B215" s="312" t="s">
        <v>355</v>
      </c>
      <c r="C215" s="382">
        <v>3000</v>
      </c>
      <c r="D215" s="410"/>
      <c r="E215" s="410"/>
      <c r="F215" s="410"/>
      <c r="G215" s="410"/>
      <c r="H215" s="410"/>
      <c r="I215" s="410"/>
      <c r="J215" s="410"/>
    </row>
    <row r="216" spans="1:10" ht="14.45" hidden="1" x14ac:dyDescent="0.35">
      <c r="A216" s="347" t="str">
        <f t="shared" si="35"/>
        <v>Potato</v>
      </c>
      <c r="B216" s="312" t="s">
        <v>355</v>
      </c>
      <c r="C216" s="382">
        <v>2000</v>
      </c>
      <c r="D216" s="410"/>
      <c r="E216" s="410"/>
      <c r="F216" s="410"/>
      <c r="G216" s="410"/>
      <c r="H216" s="410"/>
      <c r="I216" s="410"/>
      <c r="J216" s="410"/>
    </row>
    <row r="217" spans="1:10" ht="14.45" hidden="1" x14ac:dyDescent="0.35">
      <c r="A217" s="347" t="str">
        <f t="shared" si="35"/>
        <v>SWEET POTATO</v>
      </c>
      <c r="B217" s="312" t="s">
        <v>355</v>
      </c>
      <c r="C217" s="382"/>
      <c r="D217" s="410"/>
      <c r="E217" s="410"/>
      <c r="F217" s="410"/>
      <c r="G217" s="410"/>
      <c r="H217" s="410"/>
      <c r="I217" s="410"/>
      <c r="J217" s="410"/>
    </row>
    <row r="218" spans="1:10" ht="14.45" hidden="1" x14ac:dyDescent="0.35">
      <c r="A218" s="347">
        <f t="shared" si="35"/>
        <v>0</v>
      </c>
      <c r="B218" s="312" t="s">
        <v>355</v>
      </c>
      <c r="C218" s="382"/>
      <c r="D218" s="410"/>
      <c r="E218" s="410"/>
      <c r="F218" s="410"/>
      <c r="G218" s="410"/>
      <c r="H218" s="410"/>
      <c r="I218" s="410"/>
      <c r="J218" s="410"/>
    </row>
    <row r="219" spans="1:10" ht="14.45" hidden="1" x14ac:dyDescent="0.35">
      <c r="A219" s="347">
        <f t="shared" si="35"/>
        <v>0</v>
      </c>
      <c r="B219" s="312" t="s">
        <v>355</v>
      </c>
      <c r="C219" s="382"/>
      <c r="D219" s="410">
        <f>(B160*(1-'Stock WC'!$D$16))*$C219*D$172</f>
        <v>0</v>
      </c>
      <c r="E219" s="410">
        <f>((C160*(1-'Stock WC'!$D$16))+(B160*'Stock WC'!$D$16))*$C219*E$172</f>
        <v>0</v>
      </c>
      <c r="F219" s="410">
        <f>((D160*(1-'Stock WC'!$D$16))+(C160*'Stock WC'!$D$16))*$C219*F$172</f>
        <v>0</v>
      </c>
      <c r="G219" s="410">
        <f>((E160*(1-'Stock WC'!$D$16))+(D160*'Stock WC'!$D$16))*$C219*G$172</f>
        <v>0</v>
      </c>
      <c r="H219" s="410">
        <f>((F160*(1-'Stock WC'!$D$16))+(E160*'Stock WC'!$D$16))*$C219*H$172</f>
        <v>0</v>
      </c>
      <c r="I219" s="410">
        <f>((G160*(1-'Stock WC'!$D$16))+(F160*'Stock WC'!$D$16))*$C219*I$172</f>
        <v>0</v>
      </c>
      <c r="J219" s="410">
        <f>((H160*(1-'Stock WC'!$D$16))+(G160*'Stock WC'!$D$16))*$C219*J$172</f>
        <v>0</v>
      </c>
    </row>
    <row r="220" spans="1:10" ht="14.45" hidden="1" x14ac:dyDescent="0.35">
      <c r="A220" s="347">
        <f t="shared" si="35"/>
        <v>0</v>
      </c>
      <c r="B220" s="312" t="s">
        <v>355</v>
      </c>
      <c r="C220" s="382"/>
      <c r="D220" s="410">
        <f>(B161*(1-'Stock WC'!$D$16))*$C220*D$172</f>
        <v>0</v>
      </c>
      <c r="E220" s="410">
        <f>((C161*(1-'Stock WC'!$D$16))+(B161*'Stock WC'!$D$16))*$C220*E$172</f>
        <v>0</v>
      </c>
      <c r="F220" s="410">
        <f>((D161*(1-'Stock WC'!$D$16))+(C161*'Stock WC'!$D$16))*$C220*F$172</f>
        <v>0</v>
      </c>
      <c r="G220" s="410">
        <f>((E161*(1-'Stock WC'!$D$16))+(D161*'Stock WC'!$D$16))*$C220*G$172</f>
        <v>0</v>
      </c>
      <c r="H220" s="410">
        <f>((F161*(1-'Stock WC'!$D$16))+(E161*'Stock WC'!$D$16))*$C220*H$172</f>
        <v>0</v>
      </c>
      <c r="I220" s="410">
        <f>((G161*(1-'Stock WC'!$D$16))+(F161*'Stock WC'!$D$16))*$C220*I$172</f>
        <v>0</v>
      </c>
      <c r="J220" s="410">
        <f>((H161*(1-'Stock WC'!$D$16))+(G161*'Stock WC'!$D$16))*$C220*J$172</f>
        <v>0</v>
      </c>
    </row>
    <row r="221" spans="1:10" ht="14.45" hidden="1" x14ac:dyDescent="0.35">
      <c r="A221" s="347">
        <f t="shared" ref="A221:A223" si="36">A162</f>
        <v>0</v>
      </c>
      <c r="B221" s="312" t="s">
        <v>355</v>
      </c>
      <c r="C221" s="382"/>
      <c r="D221" s="410">
        <f>(B162*(1-'Stock WC'!$D$16))*$C221*D$172</f>
        <v>0</v>
      </c>
      <c r="E221" s="410">
        <f>((C162*(1-'Stock WC'!$D$16))+(B162*'Stock WC'!$D$16))*$C221*E$172</f>
        <v>0</v>
      </c>
      <c r="F221" s="410">
        <f>((D162*(1-'Stock WC'!$D$16))+(C162*'Stock WC'!$D$16))*$C221*F$172</f>
        <v>0</v>
      </c>
      <c r="G221" s="410">
        <f>((E162*(1-'Stock WC'!$D$16))+(D162*'Stock WC'!$D$16))*$C221*G$172</f>
        <v>0</v>
      </c>
      <c r="H221" s="410">
        <f>((F162*(1-'Stock WC'!$D$16))+(E162*'Stock WC'!$D$16))*$C221*H$172</f>
        <v>0</v>
      </c>
      <c r="I221" s="410">
        <f>((G162*(1-'Stock WC'!$D$16))+(F162*'Stock WC'!$D$16))*$C221*I$172</f>
        <v>0</v>
      </c>
      <c r="J221" s="410">
        <f>((H162*(1-'Stock WC'!$D$16))+(G162*'Stock WC'!$D$16))*$C221*J$172</f>
        <v>0</v>
      </c>
    </row>
    <row r="222" spans="1:10" ht="14.45" hidden="1" x14ac:dyDescent="0.35">
      <c r="A222" s="347">
        <f t="shared" si="36"/>
        <v>0</v>
      </c>
      <c r="B222" s="312" t="s">
        <v>355</v>
      </c>
      <c r="C222" s="382"/>
      <c r="D222" s="410">
        <f>(B163*(1-'Stock WC'!$D$16))*$C222*D$172</f>
        <v>0</v>
      </c>
      <c r="E222" s="410">
        <f>((C163*(1-'Stock WC'!$D$16))+(B163*'Stock WC'!$D$16))*$C222*E$172</f>
        <v>0</v>
      </c>
      <c r="F222" s="410">
        <f>((D163*(1-'Stock WC'!$D$16))+(C163*'Stock WC'!$D$16))*$C222*F$172</f>
        <v>0</v>
      </c>
      <c r="G222" s="410">
        <f>((E163*(1-'Stock WC'!$D$16))+(D163*'Stock WC'!$D$16))*$C222*G$172</f>
        <v>0</v>
      </c>
      <c r="H222" s="410">
        <f>((F163*(1-'Stock WC'!$D$16))+(E163*'Stock WC'!$D$16))*$C222*H$172</f>
        <v>0</v>
      </c>
      <c r="I222" s="410">
        <f>((G163*(1-'Stock WC'!$D$16))+(F163*'Stock WC'!$D$16))*$C222*I$172</f>
        <v>0</v>
      </c>
      <c r="J222" s="410">
        <f>((H163*(1-'Stock WC'!$D$16))+(G163*'Stock WC'!$D$16))*$C222*J$172</f>
        <v>0</v>
      </c>
    </row>
    <row r="223" spans="1:10" ht="14.45" hidden="1" x14ac:dyDescent="0.35">
      <c r="A223" s="347">
        <f t="shared" si="36"/>
        <v>0</v>
      </c>
      <c r="B223" s="312" t="s">
        <v>355</v>
      </c>
      <c r="C223" s="382"/>
      <c r="D223" s="410">
        <f>(B164*(1-'Stock WC'!$D$16))*$C223*D$172</f>
        <v>0</v>
      </c>
      <c r="E223" s="410">
        <f>((C164*(1-'Stock WC'!$D$16))+(B164*'Stock WC'!$D$16))*$C223*E$172</f>
        <v>0</v>
      </c>
      <c r="F223" s="410">
        <f>((D164*(1-'Stock WC'!$D$16))+(C164*'Stock WC'!$D$16))*$C223*F$172</f>
        <v>0</v>
      </c>
      <c r="G223" s="410">
        <f>((E164*(1-'Stock WC'!$D$16))+(D164*'Stock WC'!$D$16))*$C223*G$172</f>
        <v>0</v>
      </c>
      <c r="H223" s="410">
        <f>((F164*(1-'Stock WC'!$D$16))+(E164*'Stock WC'!$D$16))*$C223*H$172</f>
        <v>0</v>
      </c>
      <c r="I223" s="410">
        <f>((G164*(1-'Stock WC'!$D$16))+(F164*'Stock WC'!$D$16))*$C223*I$172</f>
        <v>0</v>
      </c>
      <c r="J223" s="410">
        <f>((H164*(1-'Stock WC'!$D$16))+(G164*'Stock WC'!$D$16))*$C223*J$172</f>
        <v>0</v>
      </c>
    </row>
    <row r="224" spans="1:10" ht="14.45" hidden="1" x14ac:dyDescent="0.35">
      <c r="A224" s="347" t="str">
        <f t="shared" ref="A224:A227" si="37">A165</f>
        <v>Pomegranate</v>
      </c>
      <c r="B224" s="312" t="s">
        <v>355</v>
      </c>
      <c r="C224" s="382">
        <v>5000</v>
      </c>
      <c r="D224" s="410">
        <f>(B165*(1-'Stock WC'!$D$16))*$C224*D$172</f>
        <v>0</v>
      </c>
      <c r="E224" s="410">
        <f>((C165*(1-'Stock WC'!$D$16))+(B165*'Stock WC'!$D$16))*$C224*E$172</f>
        <v>0</v>
      </c>
      <c r="F224" s="410">
        <f>((D165*(1-'Stock WC'!$D$16))+(C165*'Stock WC'!$D$16))*$C224*F$172</f>
        <v>0</v>
      </c>
      <c r="G224" s="410">
        <f>((E165*(1-'Stock WC'!$D$16))+(D165*'Stock WC'!$D$16))*$C224*G$172</f>
        <v>0</v>
      </c>
      <c r="H224" s="410">
        <f>((F165*(1-'Stock WC'!$D$16))+(E165*'Stock WC'!$D$16))*$C224*H$172</f>
        <v>0</v>
      </c>
      <c r="I224" s="410">
        <f>((G165*(1-'Stock WC'!$D$16))+(F165*'Stock WC'!$D$16))*$C224*I$172</f>
        <v>0</v>
      </c>
      <c r="J224" s="410">
        <f>((H165*(1-'Stock WC'!$D$16))+(G165*'Stock WC'!$D$16))*$C224*J$172</f>
        <v>0</v>
      </c>
    </row>
    <row r="225" spans="1:10" ht="14.45" hidden="1" x14ac:dyDescent="0.35">
      <c r="A225" s="347" t="str">
        <f t="shared" si="37"/>
        <v>Custard Apple</v>
      </c>
      <c r="B225" s="312" t="s">
        <v>355</v>
      </c>
      <c r="C225" s="382"/>
      <c r="D225" s="410">
        <f>(B166*(1-'Stock WC'!$D$16))*$C225*D$172</f>
        <v>0</v>
      </c>
      <c r="E225" s="410">
        <f>((C166*(1-'Stock WC'!$D$16))+(B166*'Stock WC'!$D$16))*$C225*E$172</f>
        <v>0</v>
      </c>
      <c r="F225" s="410">
        <f>((D166*(1-'Stock WC'!$D$16))+(C166*'Stock WC'!$D$16))*$C225*F$172</f>
        <v>0</v>
      </c>
      <c r="G225" s="410">
        <f>((E166*(1-'Stock WC'!$D$16))+(D166*'Stock WC'!$D$16))*$C225*G$172</f>
        <v>0</v>
      </c>
      <c r="H225" s="410">
        <f>((F166*(1-'Stock WC'!$D$16))+(E166*'Stock WC'!$D$16))*$C225*H$172</f>
        <v>0</v>
      </c>
      <c r="I225" s="410">
        <f>((G166*(1-'Stock WC'!$D$16))+(F166*'Stock WC'!$D$16))*$C225*I$172</f>
        <v>0</v>
      </c>
      <c r="J225" s="410">
        <f>((H166*(1-'Stock WC'!$D$16))+(G166*'Stock WC'!$D$16))*$C225*J$172</f>
        <v>0</v>
      </c>
    </row>
    <row r="226" spans="1:10" ht="14.45" hidden="1" x14ac:dyDescent="0.35">
      <c r="A226" s="347" t="str">
        <f t="shared" si="37"/>
        <v>Guava</v>
      </c>
      <c r="B226" s="312" t="s">
        <v>355</v>
      </c>
      <c r="C226" s="382"/>
      <c r="D226" s="410">
        <f>(B167*(1-'Stock WC'!$D$16))*$C226*D$172</f>
        <v>0</v>
      </c>
      <c r="E226" s="410">
        <f>((C167*(1-'Stock WC'!$D$16))+(B167*'Stock WC'!$D$16))*$C226*E$172</f>
        <v>0</v>
      </c>
      <c r="F226" s="410">
        <f>((D167*(1-'Stock WC'!$D$16))+(C167*'Stock WC'!$D$16))*$C226*F$172</f>
        <v>0</v>
      </c>
      <c r="G226" s="410">
        <f>((E167*(1-'Stock WC'!$D$16))+(D167*'Stock WC'!$D$16))*$C226*G$172</f>
        <v>0</v>
      </c>
      <c r="H226" s="410">
        <f>((F167*(1-'Stock WC'!$D$16))+(E167*'Stock WC'!$D$16))*$C226*H$172</f>
        <v>0</v>
      </c>
      <c r="I226" s="410">
        <f>((G167*(1-'Stock WC'!$D$16))+(F167*'Stock WC'!$D$16))*$C226*I$172</f>
        <v>0</v>
      </c>
      <c r="J226" s="410">
        <f>((H167*(1-'Stock WC'!$D$16))+(G167*'Stock WC'!$D$16))*$C226*J$172</f>
        <v>0</v>
      </c>
    </row>
    <row r="227" spans="1:10" ht="14.45" hidden="1" x14ac:dyDescent="0.35">
      <c r="A227" s="347" t="str">
        <f t="shared" si="37"/>
        <v>CASHEW</v>
      </c>
      <c r="B227" s="312" t="s">
        <v>355</v>
      </c>
      <c r="C227" s="382"/>
      <c r="D227" s="410">
        <f>(B168*(1-'Stock WC'!$D$16))*$C227*D$172</f>
        <v>0</v>
      </c>
      <c r="E227" s="410">
        <f>((C168*(1-'Stock WC'!$D$16))+(B168*'Stock WC'!$D$16))*$C227*E$172</f>
        <v>0</v>
      </c>
      <c r="F227" s="410">
        <f>((D168*(1-'Stock WC'!$D$16))+(C168*'Stock WC'!$D$16))*$C227*F$172</f>
        <v>0</v>
      </c>
      <c r="G227" s="410">
        <f>((E168*(1-'Stock WC'!$D$16))+(D168*'Stock WC'!$D$16))*$C227*G$172</f>
        <v>0</v>
      </c>
      <c r="H227" s="410">
        <f>((F168*(1-'Stock WC'!$D$16))+(E168*'Stock WC'!$D$16))*$C227*H$172</f>
        <v>0</v>
      </c>
      <c r="I227" s="410">
        <f>((G168*(1-'Stock WC'!$D$16))+(F168*'Stock WC'!$D$16))*$C227*I$172</f>
        <v>0</v>
      </c>
      <c r="J227" s="410">
        <f>((H168*(1-'Stock WC'!$D$16))+(G168*'Stock WC'!$D$16))*$C227*J$172</f>
        <v>0</v>
      </c>
    </row>
    <row r="228" spans="1:10" ht="14.45" x14ac:dyDescent="0.35">
      <c r="A228" s="347"/>
      <c r="B228" s="347"/>
      <c r="C228" s="347"/>
      <c r="D228" s="312"/>
      <c r="E228" s="312"/>
      <c r="F228" s="312"/>
      <c r="G228" s="312"/>
      <c r="H228" s="312"/>
      <c r="I228" s="312"/>
      <c r="J228" s="312"/>
    </row>
    <row r="229" spans="1:10" ht="14.45" x14ac:dyDescent="0.35">
      <c r="A229" s="347" t="s">
        <v>139</v>
      </c>
      <c r="B229" s="347"/>
      <c r="C229" s="347"/>
      <c r="D229" s="412">
        <f>SUM(D178:D228)</f>
        <v>29661972.741941765</v>
      </c>
      <c r="E229" s="412">
        <f t="shared" ref="E229:J229" si="38">SUM(E178:E228)</f>
        <v>33949179.073855594</v>
      </c>
      <c r="F229" s="412">
        <f t="shared" si="38"/>
        <v>38390091.717705235</v>
      </c>
      <c r="G229" s="412">
        <f t="shared" si="38"/>
        <v>43190222.67825523</v>
      </c>
      <c r="H229" s="412">
        <f t="shared" si="38"/>
        <v>48374391.505565956</v>
      </c>
      <c r="I229" s="412">
        <f t="shared" si="38"/>
        <v>53969001.658912107</v>
      </c>
      <c r="J229" s="412">
        <f t="shared" si="38"/>
        <v>60002136.848828964</v>
      </c>
    </row>
    <row r="230" spans="1:10" ht="14.45" x14ac:dyDescent="0.35">
      <c r="A230" s="312"/>
      <c r="B230" s="312"/>
      <c r="C230" s="312"/>
      <c r="D230" s="312"/>
      <c r="E230" s="312"/>
      <c r="F230" s="312"/>
      <c r="G230" s="312"/>
      <c r="H230" s="312"/>
      <c r="I230" s="312"/>
      <c r="J230" s="312"/>
    </row>
    <row r="231" spans="1:10" ht="14.45" x14ac:dyDescent="0.35">
      <c r="A231" s="347" t="s">
        <v>138</v>
      </c>
      <c r="B231" s="347"/>
      <c r="C231" s="347"/>
      <c r="D231" s="312"/>
      <c r="E231" s="312"/>
      <c r="F231" s="312"/>
      <c r="G231" s="312"/>
      <c r="H231" s="312"/>
      <c r="I231" s="312"/>
      <c r="J231" s="312"/>
    </row>
    <row r="232" spans="1:10" ht="14.45" x14ac:dyDescent="0.35">
      <c r="A232" s="347" t="s">
        <v>307</v>
      </c>
      <c r="B232" s="347"/>
      <c r="C232" s="312"/>
      <c r="D232" s="312"/>
      <c r="E232" s="312"/>
      <c r="F232" s="312"/>
      <c r="G232" s="312"/>
      <c r="H232" s="312"/>
      <c r="I232" s="312"/>
      <c r="J232" s="312"/>
    </row>
    <row r="233" spans="1:10" ht="14.45" hidden="1" x14ac:dyDescent="0.35">
      <c r="A233" s="312" t="str">
        <f t="shared" ref="A233:A254" si="39">A178</f>
        <v>Soybean</v>
      </c>
      <c r="B233" s="312" t="s">
        <v>355</v>
      </c>
      <c r="C233" s="381">
        <v>3800</v>
      </c>
      <c r="D233" s="340">
        <f>B68*$C$233*D$172</f>
        <v>0</v>
      </c>
      <c r="E233" s="340">
        <f>C68*$C$233*E$172</f>
        <v>0</v>
      </c>
      <c r="F233" s="340">
        <f>D68*$C$233*F172</f>
        <v>0</v>
      </c>
      <c r="G233" s="340">
        <f>E68*$C$233*G172</f>
        <v>0</v>
      </c>
      <c r="H233" s="340">
        <f>F68*$C$233*H172</f>
        <v>0</v>
      </c>
      <c r="I233" s="340">
        <f>G68*$C$233*I172</f>
        <v>0</v>
      </c>
      <c r="J233" s="340">
        <f>H68*$C$233*J172</f>
        <v>0</v>
      </c>
    </row>
    <row r="234" spans="1:10" ht="14.45" hidden="1" x14ac:dyDescent="0.35">
      <c r="A234" s="312" t="str">
        <f t="shared" si="39"/>
        <v>Red Gram/Tur</v>
      </c>
      <c r="B234" s="312" t="s">
        <v>355</v>
      </c>
      <c r="C234" s="381">
        <v>5800</v>
      </c>
      <c r="D234" s="340">
        <f>B69*$C$234*D$172</f>
        <v>0</v>
      </c>
      <c r="E234" s="340">
        <f t="shared" ref="E234:J234" si="40">C69*$C$234*E172</f>
        <v>0</v>
      </c>
      <c r="F234" s="340">
        <f t="shared" si="40"/>
        <v>0</v>
      </c>
      <c r="G234" s="340">
        <f t="shared" si="40"/>
        <v>0</v>
      </c>
      <c r="H234" s="340">
        <f t="shared" si="40"/>
        <v>0</v>
      </c>
      <c r="I234" s="340">
        <f t="shared" si="40"/>
        <v>0</v>
      </c>
      <c r="J234" s="340">
        <f t="shared" si="40"/>
        <v>0</v>
      </c>
    </row>
    <row r="235" spans="1:10" ht="14.45" hidden="1" x14ac:dyDescent="0.35">
      <c r="A235" s="312" t="str">
        <f t="shared" si="39"/>
        <v>Paddy/Rice</v>
      </c>
      <c r="B235" s="312" t="s">
        <v>355</v>
      </c>
      <c r="C235" s="381"/>
      <c r="D235" s="340">
        <f>B70*$C$235*D$172</f>
        <v>0</v>
      </c>
      <c r="E235" s="340">
        <f t="shared" ref="E235:J235" si="41">C70*$C$235*E172</f>
        <v>0</v>
      </c>
      <c r="F235" s="340">
        <f t="shared" si="41"/>
        <v>0</v>
      </c>
      <c r="G235" s="340">
        <f t="shared" si="41"/>
        <v>0</v>
      </c>
      <c r="H235" s="340">
        <f t="shared" si="41"/>
        <v>0</v>
      </c>
      <c r="I235" s="340">
        <f t="shared" si="41"/>
        <v>0</v>
      </c>
      <c r="J235" s="340">
        <f t="shared" si="41"/>
        <v>0</v>
      </c>
    </row>
    <row r="236" spans="1:10" ht="14.45" hidden="1" x14ac:dyDescent="0.35">
      <c r="A236" s="312" t="str">
        <f t="shared" si="39"/>
        <v>Masoor/ Moong</v>
      </c>
      <c r="B236" s="312" t="s">
        <v>355</v>
      </c>
      <c r="C236" s="381">
        <v>5800</v>
      </c>
      <c r="D236" s="340">
        <f t="shared" ref="D236:J236" si="42">B71*$C$236*D$172</f>
        <v>0</v>
      </c>
      <c r="E236" s="340">
        <f t="shared" si="42"/>
        <v>0</v>
      </c>
      <c r="F236" s="340">
        <f t="shared" si="42"/>
        <v>0</v>
      </c>
      <c r="G236" s="340">
        <f t="shared" si="42"/>
        <v>0</v>
      </c>
      <c r="H236" s="340">
        <f t="shared" si="42"/>
        <v>0</v>
      </c>
      <c r="I236" s="340">
        <f t="shared" si="42"/>
        <v>0</v>
      </c>
      <c r="J236" s="340">
        <f t="shared" si="42"/>
        <v>0</v>
      </c>
    </row>
    <row r="237" spans="1:10" ht="14.45" hidden="1" x14ac:dyDescent="0.35">
      <c r="A237" s="312" t="str">
        <f t="shared" si="39"/>
        <v>Sweet Potato</v>
      </c>
      <c r="B237" s="312" t="s">
        <v>355</v>
      </c>
      <c r="C237" s="381"/>
      <c r="D237" s="340">
        <f t="shared" ref="D237:J237" si="43">B72*$C$237*D$172</f>
        <v>0</v>
      </c>
      <c r="E237" s="340">
        <f t="shared" si="43"/>
        <v>0</v>
      </c>
      <c r="F237" s="340">
        <f t="shared" si="43"/>
        <v>0</v>
      </c>
      <c r="G237" s="340">
        <f t="shared" si="43"/>
        <v>0</v>
      </c>
      <c r="H237" s="340">
        <f t="shared" si="43"/>
        <v>0</v>
      </c>
      <c r="I237" s="340">
        <f t="shared" si="43"/>
        <v>0</v>
      </c>
      <c r="J237" s="340">
        <f t="shared" si="43"/>
        <v>0</v>
      </c>
    </row>
    <row r="238" spans="1:10" ht="14.45" hidden="1" x14ac:dyDescent="0.35">
      <c r="A238" s="312" t="str">
        <f t="shared" si="39"/>
        <v>Black Gram/Udid</v>
      </c>
      <c r="B238" s="312" t="s">
        <v>355</v>
      </c>
      <c r="C238" s="381">
        <v>6300</v>
      </c>
      <c r="D238" s="340">
        <f t="shared" ref="D238:J238" si="44">B73*$C$238*D$172</f>
        <v>0</v>
      </c>
      <c r="E238" s="340">
        <f t="shared" si="44"/>
        <v>0</v>
      </c>
      <c r="F238" s="340">
        <f t="shared" si="44"/>
        <v>0</v>
      </c>
      <c r="G238" s="340">
        <f t="shared" si="44"/>
        <v>0</v>
      </c>
      <c r="H238" s="340">
        <f t="shared" si="44"/>
        <v>0</v>
      </c>
      <c r="I238" s="340">
        <f t="shared" si="44"/>
        <v>0</v>
      </c>
      <c r="J238" s="340">
        <f t="shared" si="44"/>
        <v>0</v>
      </c>
    </row>
    <row r="239" spans="1:10" ht="14.45" hidden="1" x14ac:dyDescent="0.35">
      <c r="A239" s="312" t="str">
        <f t="shared" si="39"/>
        <v>RAGI</v>
      </c>
      <c r="B239" s="312" t="s">
        <v>355</v>
      </c>
      <c r="C239" s="381">
        <v>3400</v>
      </c>
      <c r="D239" s="340">
        <f t="shared" ref="D239:J239" si="45">B74*$C$239*D$172</f>
        <v>0</v>
      </c>
      <c r="E239" s="340">
        <f t="shared" si="45"/>
        <v>0</v>
      </c>
      <c r="F239" s="340">
        <f t="shared" si="45"/>
        <v>0</v>
      </c>
      <c r="G239" s="340">
        <f t="shared" si="45"/>
        <v>0</v>
      </c>
      <c r="H239" s="340">
        <f t="shared" si="45"/>
        <v>0</v>
      </c>
      <c r="I239" s="340">
        <f t="shared" si="45"/>
        <v>0</v>
      </c>
      <c r="J239" s="340">
        <f t="shared" si="45"/>
        <v>0</v>
      </c>
    </row>
    <row r="240" spans="1:10" ht="14.45" hidden="1" x14ac:dyDescent="0.35">
      <c r="A240" s="312" t="str">
        <f t="shared" si="39"/>
        <v>Jawar</v>
      </c>
      <c r="B240" s="312" t="s">
        <v>355</v>
      </c>
      <c r="C240" s="381"/>
      <c r="D240" s="340">
        <f t="shared" ref="D240:J240" si="46">B75*$C$240*D$172</f>
        <v>0</v>
      </c>
      <c r="E240" s="340">
        <f t="shared" si="46"/>
        <v>0</v>
      </c>
      <c r="F240" s="340">
        <f t="shared" si="46"/>
        <v>0</v>
      </c>
      <c r="G240" s="340">
        <f t="shared" si="46"/>
        <v>0</v>
      </c>
      <c r="H240" s="340">
        <f t="shared" si="46"/>
        <v>0</v>
      </c>
      <c r="I240" s="340">
        <f t="shared" si="46"/>
        <v>0</v>
      </c>
      <c r="J240" s="340">
        <f t="shared" si="46"/>
        <v>0</v>
      </c>
    </row>
    <row r="241" spans="1:10" ht="14.45" hidden="1" x14ac:dyDescent="0.35">
      <c r="A241" s="312" t="str">
        <f t="shared" si="39"/>
        <v>Sunflower</v>
      </c>
      <c r="B241" s="312" t="s">
        <v>355</v>
      </c>
      <c r="C241" s="381"/>
      <c r="D241" s="340">
        <f t="shared" ref="D241:J241" si="47">B76*$C$241*D$172</f>
        <v>0</v>
      </c>
      <c r="E241" s="340">
        <f t="shared" si="47"/>
        <v>0</v>
      </c>
      <c r="F241" s="340">
        <f t="shared" si="47"/>
        <v>0</v>
      </c>
      <c r="G241" s="340">
        <f t="shared" si="47"/>
        <v>0</v>
      </c>
      <c r="H241" s="340">
        <f t="shared" si="47"/>
        <v>0</v>
      </c>
      <c r="I241" s="340">
        <f t="shared" si="47"/>
        <v>0</v>
      </c>
      <c r="J241" s="340">
        <f t="shared" si="47"/>
        <v>0</v>
      </c>
    </row>
    <row r="242" spans="1:10" ht="14.45" hidden="1" x14ac:dyDescent="0.35">
      <c r="A242" s="312" t="str">
        <f t="shared" si="39"/>
        <v>Wheat</v>
      </c>
      <c r="B242" s="312" t="s">
        <v>355</v>
      </c>
      <c r="C242" s="381"/>
      <c r="D242" s="340">
        <f t="shared" ref="D242:J242" si="48">B77*$C$242*D$172</f>
        <v>0</v>
      </c>
      <c r="E242" s="340">
        <f t="shared" si="48"/>
        <v>0</v>
      </c>
      <c r="F242" s="340">
        <f t="shared" si="48"/>
        <v>0</v>
      </c>
      <c r="G242" s="340">
        <f t="shared" si="48"/>
        <v>0</v>
      </c>
      <c r="H242" s="340">
        <f t="shared" si="48"/>
        <v>0</v>
      </c>
      <c r="I242" s="340">
        <f t="shared" si="48"/>
        <v>0</v>
      </c>
      <c r="J242" s="340">
        <f t="shared" si="48"/>
        <v>0</v>
      </c>
    </row>
    <row r="243" spans="1:10" ht="14.45" hidden="1" x14ac:dyDescent="0.35">
      <c r="A243" s="312" t="str">
        <f t="shared" si="39"/>
        <v>Bengal Gram/Channa</v>
      </c>
      <c r="B243" s="312" t="s">
        <v>355</v>
      </c>
      <c r="C243" s="381">
        <v>4800</v>
      </c>
      <c r="D243" s="340">
        <f t="shared" ref="D243:J243" si="49">B78*$C$243*D$172</f>
        <v>0</v>
      </c>
      <c r="E243" s="340">
        <f t="shared" si="49"/>
        <v>0</v>
      </c>
      <c r="F243" s="340">
        <f t="shared" si="49"/>
        <v>0</v>
      </c>
      <c r="G243" s="340">
        <f t="shared" si="49"/>
        <v>0</v>
      </c>
      <c r="H243" s="340">
        <f t="shared" si="49"/>
        <v>0</v>
      </c>
      <c r="I243" s="340">
        <f t="shared" si="49"/>
        <v>0</v>
      </c>
      <c r="J243" s="340">
        <f t="shared" si="49"/>
        <v>0</v>
      </c>
    </row>
    <row r="244" spans="1:10" ht="14.45" hidden="1" x14ac:dyDescent="0.35">
      <c r="A244" s="312" t="str">
        <f t="shared" si="39"/>
        <v>Jawar</v>
      </c>
      <c r="B244" s="312" t="s">
        <v>355</v>
      </c>
      <c r="C244" s="381"/>
      <c r="D244" s="340">
        <f t="shared" ref="D244:J244" si="50">B79*$C$244*D$172</f>
        <v>0</v>
      </c>
      <c r="E244" s="340">
        <f t="shared" si="50"/>
        <v>0</v>
      </c>
      <c r="F244" s="340">
        <f t="shared" si="50"/>
        <v>0</v>
      </c>
      <c r="G244" s="340">
        <f t="shared" si="50"/>
        <v>0</v>
      </c>
      <c r="H244" s="340">
        <f t="shared" si="50"/>
        <v>0</v>
      </c>
      <c r="I244" s="340">
        <f t="shared" si="50"/>
        <v>0</v>
      </c>
      <c r="J244" s="340">
        <f t="shared" si="50"/>
        <v>0</v>
      </c>
    </row>
    <row r="245" spans="1:10" ht="14.45" hidden="1" x14ac:dyDescent="0.35">
      <c r="A245" s="312" t="str">
        <f t="shared" si="39"/>
        <v>Sweet Potato</v>
      </c>
      <c r="B245" s="312" t="s">
        <v>355</v>
      </c>
      <c r="C245" s="381"/>
      <c r="D245" s="340">
        <f t="shared" ref="D245:J245" si="51">B80*$C$245*D$172</f>
        <v>0</v>
      </c>
      <c r="E245" s="340">
        <f t="shared" si="51"/>
        <v>0</v>
      </c>
      <c r="F245" s="340">
        <f t="shared" si="51"/>
        <v>0</v>
      </c>
      <c r="G245" s="340">
        <f t="shared" si="51"/>
        <v>0</v>
      </c>
      <c r="H245" s="340">
        <f t="shared" si="51"/>
        <v>0</v>
      </c>
      <c r="I245" s="340">
        <f t="shared" si="51"/>
        <v>0</v>
      </c>
      <c r="J245" s="340">
        <f t="shared" si="51"/>
        <v>0</v>
      </c>
    </row>
    <row r="246" spans="1:10" ht="14.45" hidden="1" x14ac:dyDescent="0.35">
      <c r="A246" s="312" t="str">
        <f t="shared" si="39"/>
        <v>Safflower</v>
      </c>
      <c r="B246" s="312" t="s">
        <v>355</v>
      </c>
      <c r="C246" s="381"/>
      <c r="D246" s="340">
        <f t="shared" ref="D246:J246" si="52">B81*$C$246*D$172</f>
        <v>0</v>
      </c>
      <c r="E246" s="340">
        <f t="shared" si="52"/>
        <v>0</v>
      </c>
      <c r="F246" s="340">
        <f t="shared" si="52"/>
        <v>0</v>
      </c>
      <c r="G246" s="340">
        <f t="shared" si="52"/>
        <v>0</v>
      </c>
      <c r="H246" s="340">
        <f t="shared" si="52"/>
        <v>0</v>
      </c>
      <c r="I246" s="340">
        <f t="shared" si="52"/>
        <v>0</v>
      </c>
      <c r="J246" s="340">
        <f t="shared" si="52"/>
        <v>0</v>
      </c>
    </row>
    <row r="247" spans="1:10" ht="14.45" hidden="1" x14ac:dyDescent="0.35">
      <c r="A247" s="312">
        <f t="shared" si="39"/>
        <v>0</v>
      </c>
      <c r="B247" s="312" t="s">
        <v>355</v>
      </c>
      <c r="C247" s="381"/>
      <c r="D247" s="340">
        <f t="shared" ref="D247:J247" si="53">B82*$C$247*D$172</f>
        <v>0</v>
      </c>
      <c r="E247" s="340">
        <f t="shared" si="53"/>
        <v>0</v>
      </c>
      <c r="F247" s="340">
        <f t="shared" si="53"/>
        <v>0</v>
      </c>
      <c r="G247" s="340">
        <f t="shared" si="53"/>
        <v>0</v>
      </c>
      <c r="H247" s="340">
        <f t="shared" si="53"/>
        <v>0</v>
      </c>
      <c r="I247" s="340">
        <f t="shared" si="53"/>
        <v>0</v>
      </c>
      <c r="J247" s="340">
        <f t="shared" si="53"/>
        <v>0</v>
      </c>
    </row>
    <row r="248" spans="1:10" ht="14.45" hidden="1" x14ac:dyDescent="0.35">
      <c r="A248" s="312">
        <f t="shared" si="39"/>
        <v>0</v>
      </c>
      <c r="B248" s="312" t="s">
        <v>355</v>
      </c>
      <c r="C248" s="381"/>
      <c r="D248" s="340">
        <f t="shared" ref="D248:J248" si="54">B83*$C$248*D$172</f>
        <v>0</v>
      </c>
      <c r="E248" s="340">
        <f t="shared" si="54"/>
        <v>0</v>
      </c>
      <c r="F248" s="340">
        <f t="shared" si="54"/>
        <v>0</v>
      </c>
      <c r="G248" s="340">
        <f t="shared" si="54"/>
        <v>0</v>
      </c>
      <c r="H248" s="340">
        <f t="shared" si="54"/>
        <v>0</v>
      </c>
      <c r="I248" s="340">
        <f t="shared" si="54"/>
        <v>0</v>
      </c>
      <c r="J248" s="340">
        <f t="shared" si="54"/>
        <v>0</v>
      </c>
    </row>
    <row r="249" spans="1:10" ht="14.45" hidden="1" x14ac:dyDescent="0.35">
      <c r="A249" s="312">
        <f t="shared" si="39"/>
        <v>0</v>
      </c>
      <c r="B249" s="312" t="s">
        <v>355</v>
      </c>
      <c r="C249" s="381"/>
      <c r="D249" s="340">
        <f t="shared" ref="D249:J252" si="55">B84*$C249*D$172</f>
        <v>0</v>
      </c>
      <c r="E249" s="340">
        <f t="shared" si="55"/>
        <v>0</v>
      </c>
      <c r="F249" s="340">
        <f t="shared" si="55"/>
        <v>0</v>
      </c>
      <c r="G249" s="340">
        <f t="shared" si="55"/>
        <v>0</v>
      </c>
      <c r="H249" s="340">
        <f t="shared" si="55"/>
        <v>0</v>
      </c>
      <c r="I249" s="340">
        <f t="shared" si="55"/>
        <v>0</v>
      </c>
      <c r="J249" s="340">
        <f t="shared" si="55"/>
        <v>0</v>
      </c>
    </row>
    <row r="250" spans="1:10" ht="14.45" hidden="1" x14ac:dyDescent="0.35">
      <c r="A250" s="312" t="str">
        <f t="shared" si="39"/>
        <v>Groundnut</v>
      </c>
      <c r="B250" s="312" t="s">
        <v>355</v>
      </c>
      <c r="C250" s="381"/>
      <c r="D250" s="340">
        <f t="shared" si="55"/>
        <v>0</v>
      </c>
      <c r="E250" s="340">
        <f t="shared" si="55"/>
        <v>0</v>
      </c>
      <c r="F250" s="340">
        <f t="shared" si="55"/>
        <v>0</v>
      </c>
      <c r="G250" s="340">
        <f t="shared" si="55"/>
        <v>0</v>
      </c>
      <c r="H250" s="340">
        <f t="shared" si="55"/>
        <v>0</v>
      </c>
      <c r="I250" s="340">
        <f t="shared" si="55"/>
        <v>0</v>
      </c>
      <c r="J250" s="340">
        <f t="shared" si="55"/>
        <v>0</v>
      </c>
    </row>
    <row r="251" spans="1:10" ht="14.45" x14ac:dyDescent="0.35">
      <c r="A251" s="312" t="str">
        <f t="shared" si="39"/>
        <v>Ragi</v>
      </c>
      <c r="B251" s="312" t="s">
        <v>355</v>
      </c>
      <c r="C251" s="381">
        <v>3400</v>
      </c>
      <c r="D251" s="340">
        <f t="shared" si="55"/>
        <v>26189526.528000005</v>
      </c>
      <c r="E251" s="340">
        <f t="shared" si="55"/>
        <v>29790586.425600011</v>
      </c>
      <c r="F251" s="340">
        <f t="shared" si="55"/>
        <v>33686278.496640012</v>
      </c>
      <c r="G251" s="340">
        <f t="shared" si="55"/>
        <v>37897063.308720015</v>
      </c>
      <c r="H251" s="340">
        <f t="shared" si="55"/>
        <v>42444710.90576642</v>
      </c>
      <c r="I251" s="340">
        <f t="shared" si="55"/>
        <v>47352380.604245678</v>
      </c>
      <c r="J251" s="340">
        <f t="shared" si="55"/>
        <v>52644705.495308429</v>
      </c>
    </row>
    <row r="252" spans="1:10" ht="14.45" hidden="1" x14ac:dyDescent="0.35">
      <c r="A252" s="312" t="str">
        <f t="shared" si="39"/>
        <v>Ragi Flour</v>
      </c>
      <c r="B252" s="312" t="s">
        <v>355</v>
      </c>
      <c r="C252" s="381"/>
      <c r="D252" s="340">
        <f t="shared" si="55"/>
        <v>0</v>
      </c>
      <c r="E252" s="340">
        <f t="shared" si="55"/>
        <v>0</v>
      </c>
      <c r="F252" s="340">
        <f t="shared" si="55"/>
        <v>0</v>
      </c>
      <c r="G252" s="340">
        <f t="shared" si="55"/>
        <v>0</v>
      </c>
      <c r="H252" s="340">
        <f t="shared" si="55"/>
        <v>0</v>
      </c>
      <c r="I252" s="340">
        <f t="shared" si="55"/>
        <v>0</v>
      </c>
      <c r="J252" s="340">
        <f t="shared" si="55"/>
        <v>0</v>
      </c>
    </row>
    <row r="253" spans="1:10" ht="14.45" hidden="1" x14ac:dyDescent="0.35">
      <c r="A253" s="312">
        <f t="shared" si="39"/>
        <v>0</v>
      </c>
      <c r="B253" s="312" t="s">
        <v>355</v>
      </c>
      <c r="C253" s="381"/>
      <c r="D253" s="340"/>
      <c r="E253" s="340"/>
      <c r="F253" s="340"/>
      <c r="G253" s="340"/>
      <c r="H253" s="340"/>
      <c r="I253" s="340"/>
      <c r="J253" s="340"/>
    </row>
    <row r="254" spans="1:10" ht="14.45" hidden="1" x14ac:dyDescent="0.35">
      <c r="A254" s="312">
        <f t="shared" si="39"/>
        <v>0</v>
      </c>
      <c r="B254" s="312" t="s">
        <v>355</v>
      </c>
      <c r="C254" s="381"/>
      <c r="D254" s="340"/>
      <c r="E254" s="340"/>
      <c r="F254" s="340"/>
      <c r="G254" s="340"/>
      <c r="H254" s="340"/>
      <c r="I254" s="340"/>
      <c r="J254" s="340"/>
    </row>
    <row r="255" spans="1:10" ht="14.45" hidden="1" x14ac:dyDescent="0.35">
      <c r="A255" s="312">
        <f t="shared" ref="A255:A274" si="56">A201</f>
        <v>0</v>
      </c>
      <c r="B255" s="312"/>
      <c r="C255" s="381"/>
      <c r="D255" s="340"/>
      <c r="E255" s="340"/>
      <c r="F255" s="340"/>
      <c r="G255" s="340"/>
      <c r="H255" s="340"/>
      <c r="I255" s="340"/>
      <c r="J255" s="340"/>
    </row>
    <row r="256" spans="1:10" ht="14.45" hidden="1" x14ac:dyDescent="0.35">
      <c r="A256" s="347" t="str">
        <f t="shared" si="56"/>
        <v>Fruit  &amp; Vegetables Crop Production Details</v>
      </c>
      <c r="B256" s="312"/>
      <c r="C256" s="381"/>
      <c r="D256" s="340"/>
      <c r="E256" s="340"/>
      <c r="F256" s="340"/>
      <c r="G256" s="340"/>
      <c r="H256" s="340"/>
      <c r="I256" s="340"/>
      <c r="J256" s="340"/>
    </row>
    <row r="257" spans="1:10" ht="14.45" hidden="1" x14ac:dyDescent="0.35">
      <c r="A257" s="312" t="str">
        <f t="shared" si="56"/>
        <v>Onion</v>
      </c>
      <c r="B257" s="312" t="s">
        <v>355</v>
      </c>
      <c r="C257" s="381">
        <v>1800</v>
      </c>
      <c r="D257" s="340"/>
      <c r="E257" s="340"/>
      <c r="F257" s="340"/>
      <c r="G257" s="340"/>
      <c r="H257" s="340"/>
      <c r="I257" s="340"/>
      <c r="J257" s="340"/>
    </row>
    <row r="258" spans="1:10" ht="14.45" hidden="1" x14ac:dyDescent="0.35">
      <c r="A258" s="312" t="str">
        <f t="shared" si="56"/>
        <v>Tomato</v>
      </c>
      <c r="B258" s="312" t="s">
        <v>355</v>
      </c>
      <c r="C258" s="381">
        <v>800</v>
      </c>
      <c r="D258" s="340"/>
      <c r="E258" s="340"/>
      <c r="F258" s="340"/>
      <c r="G258" s="340"/>
      <c r="H258" s="340"/>
      <c r="I258" s="340"/>
      <c r="J258" s="340"/>
    </row>
    <row r="259" spans="1:10" ht="14.45" hidden="1" x14ac:dyDescent="0.35">
      <c r="A259" s="312" t="str">
        <f t="shared" si="56"/>
        <v>Okra</v>
      </c>
      <c r="B259" s="312" t="s">
        <v>355</v>
      </c>
      <c r="C259" s="381">
        <v>1300</v>
      </c>
      <c r="D259" s="340"/>
      <c r="E259" s="340"/>
      <c r="F259" s="340"/>
      <c r="G259" s="340"/>
      <c r="H259" s="340"/>
      <c r="I259" s="340"/>
      <c r="J259" s="340"/>
    </row>
    <row r="260" spans="1:10" ht="14.45" hidden="1" x14ac:dyDescent="0.35">
      <c r="A260" s="312" t="str">
        <f t="shared" si="56"/>
        <v>Chilli</v>
      </c>
      <c r="B260" s="312" t="s">
        <v>355</v>
      </c>
      <c r="C260" s="381">
        <v>2800</v>
      </c>
      <c r="D260" s="340"/>
      <c r="E260" s="340"/>
      <c r="F260" s="340"/>
      <c r="G260" s="340"/>
      <c r="H260" s="340"/>
      <c r="I260" s="340"/>
      <c r="J260" s="340"/>
    </row>
    <row r="261" spans="1:10" ht="14.45" hidden="1" x14ac:dyDescent="0.35">
      <c r="A261" s="312" t="str">
        <f t="shared" si="56"/>
        <v>Potato</v>
      </c>
      <c r="B261" s="312" t="s">
        <v>355</v>
      </c>
      <c r="C261" s="381">
        <v>1300</v>
      </c>
      <c r="D261" s="340"/>
      <c r="E261" s="340"/>
      <c r="F261" s="340"/>
      <c r="G261" s="340"/>
      <c r="H261" s="340"/>
      <c r="I261" s="340"/>
      <c r="J261" s="340"/>
    </row>
    <row r="262" spans="1:10" ht="14.45" hidden="1" x14ac:dyDescent="0.35">
      <c r="A262" s="312" t="str">
        <f t="shared" si="56"/>
        <v>SWEET POTATO</v>
      </c>
      <c r="B262" s="312" t="s">
        <v>355</v>
      </c>
      <c r="C262" s="381"/>
      <c r="D262" s="340"/>
      <c r="E262" s="340"/>
      <c r="F262" s="340"/>
      <c r="G262" s="340"/>
      <c r="H262" s="340"/>
      <c r="I262" s="340"/>
      <c r="J262" s="340"/>
    </row>
    <row r="263" spans="1:10" ht="14.45" hidden="1" x14ac:dyDescent="0.35">
      <c r="A263" s="312">
        <f t="shared" si="56"/>
        <v>0</v>
      </c>
      <c r="B263" s="312" t="s">
        <v>355</v>
      </c>
      <c r="C263" s="381"/>
      <c r="D263" s="340"/>
      <c r="E263" s="340"/>
      <c r="F263" s="340"/>
      <c r="G263" s="340"/>
      <c r="H263" s="340"/>
      <c r="I263" s="340"/>
      <c r="J263" s="340"/>
    </row>
    <row r="264" spans="1:10" ht="14.45" hidden="1" x14ac:dyDescent="0.35">
      <c r="A264" s="312">
        <f t="shared" si="56"/>
        <v>0</v>
      </c>
      <c r="B264" s="312" t="s">
        <v>355</v>
      </c>
      <c r="C264" s="381"/>
      <c r="D264" s="340"/>
      <c r="E264" s="340"/>
      <c r="F264" s="340"/>
      <c r="G264" s="340"/>
      <c r="H264" s="340"/>
      <c r="I264" s="340"/>
      <c r="J264" s="340"/>
    </row>
    <row r="265" spans="1:10" ht="14.45" hidden="1" x14ac:dyDescent="0.35">
      <c r="A265" s="312">
        <f t="shared" si="56"/>
        <v>0</v>
      </c>
      <c r="B265" s="312" t="s">
        <v>355</v>
      </c>
      <c r="C265" s="381"/>
      <c r="D265" s="340"/>
      <c r="E265" s="340"/>
      <c r="F265" s="340"/>
      <c r="G265" s="340"/>
      <c r="H265" s="340"/>
      <c r="I265" s="340"/>
      <c r="J265" s="340"/>
    </row>
    <row r="266" spans="1:10" ht="14.45" hidden="1" x14ac:dyDescent="0.35">
      <c r="A266" s="312" t="str">
        <f t="shared" si="56"/>
        <v>Onion</v>
      </c>
      <c r="B266" s="312" t="s">
        <v>355</v>
      </c>
      <c r="C266" s="381">
        <v>1800</v>
      </c>
      <c r="D266" s="340"/>
      <c r="E266" s="340"/>
      <c r="F266" s="340"/>
      <c r="G266" s="340"/>
      <c r="H266" s="340"/>
      <c r="I266" s="340"/>
      <c r="J266" s="340"/>
    </row>
    <row r="267" spans="1:10" ht="14.45" hidden="1" x14ac:dyDescent="0.35">
      <c r="A267" s="312" t="str">
        <f t="shared" si="56"/>
        <v>Tomato</v>
      </c>
      <c r="B267" s="312" t="s">
        <v>355</v>
      </c>
      <c r="C267" s="381">
        <v>800</v>
      </c>
      <c r="D267" s="340"/>
      <c r="E267" s="340"/>
      <c r="F267" s="340"/>
      <c r="G267" s="340"/>
      <c r="H267" s="340"/>
      <c r="I267" s="340"/>
      <c r="J267" s="340"/>
    </row>
    <row r="268" spans="1:10" ht="14.45" hidden="1" x14ac:dyDescent="0.35">
      <c r="A268" s="312" t="str">
        <f t="shared" si="56"/>
        <v>Okra</v>
      </c>
      <c r="B268" s="312" t="s">
        <v>355</v>
      </c>
      <c r="C268" s="381">
        <v>1300</v>
      </c>
      <c r="D268" s="340"/>
      <c r="E268" s="340"/>
      <c r="F268" s="340"/>
      <c r="G268" s="340"/>
      <c r="H268" s="340"/>
      <c r="I268" s="340"/>
      <c r="J268" s="340"/>
    </row>
    <row r="269" spans="1:10" ht="14.45" hidden="1" x14ac:dyDescent="0.35">
      <c r="A269" s="312" t="str">
        <f t="shared" si="56"/>
        <v>Chilli</v>
      </c>
      <c r="B269" s="312" t="s">
        <v>355</v>
      </c>
      <c r="C269" s="381">
        <v>2800</v>
      </c>
      <c r="D269" s="340"/>
      <c r="E269" s="340"/>
      <c r="F269" s="340"/>
      <c r="G269" s="340"/>
      <c r="H269" s="340"/>
      <c r="I269" s="340"/>
      <c r="J269" s="340"/>
    </row>
    <row r="270" spans="1:10" ht="14.45" hidden="1" x14ac:dyDescent="0.35">
      <c r="A270" s="312" t="str">
        <f t="shared" si="56"/>
        <v>Potato</v>
      </c>
      <c r="B270" s="312" t="s">
        <v>355</v>
      </c>
      <c r="C270" s="381">
        <v>1800</v>
      </c>
      <c r="D270" s="340"/>
      <c r="E270" s="340"/>
      <c r="F270" s="340"/>
      <c r="G270" s="340"/>
      <c r="H270" s="340"/>
      <c r="I270" s="340"/>
      <c r="J270" s="340"/>
    </row>
    <row r="271" spans="1:10" ht="14.45" hidden="1" x14ac:dyDescent="0.35">
      <c r="A271" s="312" t="str">
        <f t="shared" si="56"/>
        <v>SWEET POTATO</v>
      </c>
      <c r="B271" s="312" t="s">
        <v>355</v>
      </c>
      <c r="C271" s="381"/>
      <c r="D271" s="340"/>
      <c r="E271" s="340"/>
      <c r="F271" s="340"/>
      <c r="G271" s="340"/>
      <c r="H271" s="340"/>
      <c r="I271" s="340"/>
      <c r="J271" s="340"/>
    </row>
    <row r="272" spans="1:10" ht="14.45" hidden="1" x14ac:dyDescent="0.35">
      <c r="A272" s="312">
        <f t="shared" si="56"/>
        <v>0</v>
      </c>
      <c r="B272" s="312" t="s">
        <v>355</v>
      </c>
      <c r="C272" s="381"/>
      <c r="D272" s="340"/>
      <c r="E272" s="340"/>
      <c r="F272" s="340"/>
      <c r="G272" s="340"/>
      <c r="H272" s="340"/>
      <c r="I272" s="340"/>
      <c r="J272" s="340"/>
    </row>
    <row r="273" spans="1:10" ht="14.45" hidden="1" x14ac:dyDescent="0.35">
      <c r="A273" s="312">
        <f t="shared" si="56"/>
        <v>0</v>
      </c>
      <c r="B273" s="312" t="s">
        <v>355</v>
      </c>
      <c r="C273" s="381"/>
      <c r="D273" s="340">
        <f t="shared" ref="D273:D274" si="57">B108*$C273*D$172</f>
        <v>0</v>
      </c>
      <c r="E273" s="340">
        <f t="shared" ref="E273:E274" si="58">C108*$C273*E$172</f>
        <v>0</v>
      </c>
      <c r="F273" s="340">
        <f t="shared" ref="F273:F274" si="59">D108*$C273*F$172</f>
        <v>0</v>
      </c>
      <c r="G273" s="340">
        <f t="shared" ref="G273:G274" si="60">E108*$C273*G$172</f>
        <v>0</v>
      </c>
      <c r="H273" s="340">
        <f t="shared" ref="H273:H274" si="61">F108*$C273*H$172</f>
        <v>0</v>
      </c>
      <c r="I273" s="340">
        <f t="shared" ref="I273:I274" si="62">G108*$C273*I$172</f>
        <v>0</v>
      </c>
      <c r="J273" s="340">
        <f t="shared" ref="J273:J274" si="63">H108*$C273*J$172</f>
        <v>0</v>
      </c>
    </row>
    <row r="274" spans="1:10" ht="14.45" hidden="1" x14ac:dyDescent="0.35">
      <c r="A274" s="312">
        <f t="shared" si="56"/>
        <v>0</v>
      </c>
      <c r="B274" s="312" t="s">
        <v>355</v>
      </c>
      <c r="C274" s="381"/>
      <c r="D274" s="340">
        <f t="shared" si="57"/>
        <v>0</v>
      </c>
      <c r="E274" s="340">
        <f t="shared" si="58"/>
        <v>0</v>
      </c>
      <c r="F274" s="340">
        <f t="shared" si="59"/>
        <v>0</v>
      </c>
      <c r="G274" s="340">
        <f t="shared" si="60"/>
        <v>0</v>
      </c>
      <c r="H274" s="340">
        <f t="shared" si="61"/>
        <v>0</v>
      </c>
      <c r="I274" s="340">
        <f t="shared" si="62"/>
        <v>0</v>
      </c>
      <c r="J274" s="340">
        <f t="shared" si="63"/>
        <v>0</v>
      </c>
    </row>
    <row r="275" spans="1:10" ht="14.45" hidden="1" x14ac:dyDescent="0.35">
      <c r="A275" s="312" t="str">
        <f>A224</f>
        <v>Pomegranate</v>
      </c>
      <c r="B275" s="312" t="s">
        <v>355</v>
      </c>
      <c r="C275" s="381">
        <v>4700</v>
      </c>
      <c r="D275" s="340">
        <f t="shared" ref="D275:J278" si="64">B113*$C275*D$172</f>
        <v>0</v>
      </c>
      <c r="E275" s="340">
        <f t="shared" si="64"/>
        <v>0</v>
      </c>
      <c r="F275" s="340">
        <f t="shared" si="64"/>
        <v>0</v>
      </c>
      <c r="G275" s="340">
        <f t="shared" si="64"/>
        <v>0</v>
      </c>
      <c r="H275" s="340">
        <f t="shared" si="64"/>
        <v>0</v>
      </c>
      <c r="I275" s="340">
        <f t="shared" si="64"/>
        <v>0</v>
      </c>
      <c r="J275" s="340">
        <f t="shared" si="64"/>
        <v>0</v>
      </c>
    </row>
    <row r="276" spans="1:10" ht="14.45" hidden="1" x14ac:dyDescent="0.35">
      <c r="A276" s="312" t="str">
        <f>A225</f>
        <v>Custard Apple</v>
      </c>
      <c r="B276" s="312" t="s">
        <v>355</v>
      </c>
      <c r="C276" s="381"/>
      <c r="D276" s="340">
        <f t="shared" si="64"/>
        <v>0</v>
      </c>
      <c r="E276" s="340">
        <f t="shared" si="64"/>
        <v>0</v>
      </c>
      <c r="F276" s="340">
        <f t="shared" si="64"/>
        <v>0</v>
      </c>
      <c r="G276" s="340">
        <f t="shared" si="64"/>
        <v>0</v>
      </c>
      <c r="H276" s="340">
        <f t="shared" si="64"/>
        <v>0</v>
      </c>
      <c r="I276" s="340">
        <f t="shared" si="64"/>
        <v>0</v>
      </c>
      <c r="J276" s="340">
        <f t="shared" si="64"/>
        <v>0</v>
      </c>
    </row>
    <row r="277" spans="1:10" ht="14.45" hidden="1" x14ac:dyDescent="0.35">
      <c r="A277" s="312" t="str">
        <f>A226</f>
        <v>Guava</v>
      </c>
      <c r="B277" s="312" t="s">
        <v>355</v>
      </c>
      <c r="C277" s="381"/>
      <c r="D277" s="340">
        <f t="shared" si="64"/>
        <v>0</v>
      </c>
      <c r="E277" s="340">
        <f t="shared" si="64"/>
        <v>0</v>
      </c>
      <c r="F277" s="340">
        <f t="shared" si="64"/>
        <v>0</v>
      </c>
      <c r="G277" s="340">
        <f t="shared" si="64"/>
        <v>0</v>
      </c>
      <c r="H277" s="340">
        <f t="shared" si="64"/>
        <v>0</v>
      </c>
      <c r="I277" s="340">
        <f t="shared" si="64"/>
        <v>0</v>
      </c>
      <c r="J277" s="340">
        <f t="shared" si="64"/>
        <v>0</v>
      </c>
    </row>
    <row r="278" spans="1:10" ht="14.45" hidden="1" x14ac:dyDescent="0.35">
      <c r="A278" s="312" t="str">
        <f>A227</f>
        <v>CASHEW</v>
      </c>
      <c r="B278" s="312" t="s">
        <v>355</v>
      </c>
      <c r="C278" s="381"/>
      <c r="D278" s="340">
        <f t="shared" si="64"/>
        <v>0</v>
      </c>
      <c r="E278" s="340">
        <f t="shared" si="64"/>
        <v>0</v>
      </c>
      <c r="F278" s="340">
        <f t="shared" si="64"/>
        <v>0</v>
      </c>
      <c r="G278" s="340">
        <f t="shared" si="64"/>
        <v>0</v>
      </c>
      <c r="H278" s="340">
        <f t="shared" si="64"/>
        <v>0</v>
      </c>
      <c r="I278" s="340">
        <f t="shared" si="64"/>
        <v>0</v>
      </c>
      <c r="J278" s="340">
        <f t="shared" si="64"/>
        <v>0</v>
      </c>
    </row>
    <row r="279" spans="1:10" ht="14.45" hidden="1" x14ac:dyDescent="0.35">
      <c r="A279" s="312">
        <f>A228</f>
        <v>0</v>
      </c>
      <c r="B279" s="312" t="s">
        <v>355</v>
      </c>
      <c r="C279" s="381"/>
      <c r="D279" s="340"/>
      <c r="E279" s="340"/>
      <c r="F279" s="340"/>
      <c r="G279" s="340"/>
      <c r="H279" s="340"/>
      <c r="I279" s="340"/>
      <c r="J279" s="340"/>
    </row>
    <row r="280" spans="1:10" ht="14.45" hidden="1" x14ac:dyDescent="0.35">
      <c r="A280" s="312">
        <f>A230</f>
        <v>0</v>
      </c>
      <c r="B280" s="312"/>
      <c r="C280" s="381"/>
      <c r="D280" s="340"/>
      <c r="E280" s="340"/>
      <c r="F280" s="340"/>
      <c r="G280" s="340"/>
      <c r="H280" s="340"/>
      <c r="I280" s="340"/>
      <c r="J280" s="340"/>
    </row>
    <row r="281" spans="1:10" ht="14.45" x14ac:dyDescent="0.35">
      <c r="A281" s="312"/>
      <c r="B281" s="312"/>
      <c r="C281" s="381"/>
      <c r="D281" s="340"/>
      <c r="E281" s="340"/>
      <c r="F281" s="340"/>
      <c r="G281" s="340"/>
      <c r="H281" s="340"/>
      <c r="I281" s="340"/>
      <c r="J281" s="340"/>
    </row>
    <row r="282" spans="1:10" ht="14.45" x14ac:dyDescent="0.35">
      <c r="A282" s="312" t="s">
        <v>304</v>
      </c>
      <c r="B282" s="359">
        <v>10</v>
      </c>
      <c r="C282" s="359">
        <v>300</v>
      </c>
      <c r="D282" s="340">
        <f>$C282*$B282*D$172*B$10</f>
        <v>288855.07200000004</v>
      </c>
      <c r="E282" s="340">
        <f t="shared" ref="E282:J283" si="65">$C282*$B282*E$172*C$10</f>
        <v>328572.64440000011</v>
      </c>
      <c r="F282" s="340">
        <f t="shared" si="65"/>
        <v>371539.83636000007</v>
      </c>
      <c r="G282" s="340">
        <f t="shared" si="65"/>
        <v>417982.3159050002</v>
      </c>
      <c r="H282" s="340">
        <f t="shared" si="65"/>
        <v>468140.19381360029</v>
      </c>
      <c r="I282" s="340">
        <f t="shared" si="65"/>
        <v>522268.90372329782</v>
      </c>
      <c r="J282" s="340">
        <f t="shared" si="65"/>
        <v>580640.13413943129</v>
      </c>
    </row>
    <row r="283" spans="1:10" ht="14.45" x14ac:dyDescent="0.35">
      <c r="A283" s="312" t="s">
        <v>140</v>
      </c>
      <c r="B283" s="385">
        <f>Capex!H42*0.746*B6</f>
        <v>435.66399999999999</v>
      </c>
      <c r="C283" s="359">
        <v>8</v>
      </c>
      <c r="D283" s="340">
        <f>$C283*$B283*D$172*B$10</f>
        <v>335583.34956748807</v>
      </c>
      <c r="E283" s="340">
        <f t="shared" si="65"/>
        <v>381726.06013301772</v>
      </c>
      <c r="F283" s="340">
        <f t="shared" si="65"/>
        <v>431644.08338118158</v>
      </c>
      <c r="G283" s="340">
        <f t="shared" si="65"/>
        <v>485599.59380382934</v>
      </c>
      <c r="H283" s="340">
        <f t="shared" si="65"/>
        <v>543871.54506028886</v>
      </c>
      <c r="I283" s="340">
        <f t="shared" si="65"/>
        <v>606756.6924578849</v>
      </c>
      <c r="J283" s="340">
        <f t="shared" si="65"/>
        <v>674570.67573258979</v>
      </c>
    </row>
    <row r="284" spans="1:10" ht="14.45" x14ac:dyDescent="0.35">
      <c r="A284" s="312" t="s">
        <v>1224</v>
      </c>
      <c r="B284" s="312"/>
      <c r="C284" s="359">
        <v>25</v>
      </c>
      <c r="D284" s="340">
        <f>+B$138*$C284*100/50</f>
        <v>261510.12518400003</v>
      </c>
      <c r="E284" s="340">
        <f t="shared" ref="E284:J284" si="66">+C138*$C$284*100/50</f>
        <v>283302.6356160001</v>
      </c>
      <c r="F284" s="340">
        <f t="shared" si="66"/>
        <v>305095.14604800002</v>
      </c>
      <c r="G284" s="340">
        <f t="shared" si="66"/>
        <v>326887.65648000006</v>
      </c>
      <c r="H284" s="340">
        <f t="shared" si="66"/>
        <v>348680.16691200016</v>
      </c>
      <c r="I284" s="340">
        <f t="shared" si="66"/>
        <v>370472.67734400014</v>
      </c>
      <c r="J284" s="340">
        <f t="shared" si="66"/>
        <v>392265.18777600018</v>
      </c>
    </row>
    <row r="285" spans="1:10" ht="14.45" x14ac:dyDescent="0.35">
      <c r="A285" s="312" t="s">
        <v>448</v>
      </c>
      <c r="B285" s="312"/>
      <c r="C285" s="359">
        <v>20</v>
      </c>
      <c r="D285" s="340">
        <f>+B$138*$C285*100/50</f>
        <v>209208.10014719999</v>
      </c>
      <c r="E285" s="340">
        <f t="shared" ref="E285:J285" si="67">+C$138*$C285*100/50</f>
        <v>226642.10849280006</v>
      </c>
      <c r="F285" s="340">
        <f t="shared" si="67"/>
        <v>244076.11683840002</v>
      </c>
      <c r="G285" s="340">
        <f t="shared" si="67"/>
        <v>261510.12518400006</v>
      </c>
      <c r="H285" s="340">
        <f t="shared" si="67"/>
        <v>278944.13352960011</v>
      </c>
      <c r="I285" s="340">
        <f t="shared" si="67"/>
        <v>296378.14187520015</v>
      </c>
      <c r="J285" s="340">
        <f t="shared" si="67"/>
        <v>313812.15022080019</v>
      </c>
    </row>
    <row r="286" spans="1:10" ht="14.45" x14ac:dyDescent="0.35">
      <c r="A286" s="312"/>
      <c r="B286" s="312"/>
      <c r="C286" s="312"/>
      <c r="D286" s="312"/>
      <c r="E286" s="312"/>
      <c r="F286" s="312"/>
      <c r="G286" s="312"/>
      <c r="H286" s="312"/>
      <c r="I286" s="312"/>
      <c r="J286" s="312"/>
    </row>
    <row r="287" spans="1:10" ht="14.45" x14ac:dyDescent="0.35">
      <c r="A287" s="360" t="s">
        <v>338</v>
      </c>
      <c r="B287" s="312"/>
      <c r="C287" s="312"/>
      <c r="D287" s="410"/>
      <c r="E287" s="410">
        <f>D288</f>
        <v>270754.75074751495</v>
      </c>
      <c r="F287" s="410">
        <f t="shared" ref="F287:J287" si="68">E288</f>
        <v>307841.87765749032</v>
      </c>
      <c r="G287" s="410">
        <f t="shared" si="68"/>
        <v>347945.57562429196</v>
      </c>
      <c r="H287" s="410">
        <f t="shared" si="68"/>
        <v>391275.32874908845</v>
      </c>
      <c r="I287" s="410">
        <f t="shared" si="68"/>
        <v>438054.02811552311</v>
      </c>
      <c r="J287" s="410">
        <f t="shared" si="68"/>
        <v>488518.78877770866</v>
      </c>
    </row>
    <row r="288" spans="1:10" ht="14.45" x14ac:dyDescent="0.35">
      <c r="A288" s="360" t="s">
        <v>339</v>
      </c>
      <c r="B288" s="312"/>
      <c r="C288" s="410"/>
      <c r="D288" s="410">
        <f>'Stock WC'!E16</f>
        <v>270754.75074751495</v>
      </c>
      <c r="E288" s="410">
        <f>'Stock WC'!F16</f>
        <v>307841.87765749032</v>
      </c>
      <c r="F288" s="410">
        <f>'Stock WC'!G16</f>
        <v>347945.57562429196</v>
      </c>
      <c r="G288" s="410">
        <f>'Stock WC'!H16</f>
        <v>391275.32874908845</v>
      </c>
      <c r="H288" s="410">
        <f>'Stock WC'!I16</f>
        <v>438054.02811552311</v>
      </c>
      <c r="I288" s="410">
        <f>'Stock WC'!J16</f>
        <v>488518.78877770866</v>
      </c>
      <c r="J288" s="410">
        <f>'Stock WC'!K16</f>
        <v>542921.81492956448</v>
      </c>
    </row>
    <row r="289" spans="1:14" ht="14.45" x14ac:dyDescent="0.35">
      <c r="A289" s="360"/>
      <c r="B289" s="312"/>
      <c r="C289" s="309"/>
      <c r="D289" s="410"/>
      <c r="E289" s="410"/>
      <c r="F289" s="410"/>
      <c r="G289" s="410"/>
      <c r="H289" s="410"/>
      <c r="I289" s="410"/>
      <c r="J289" s="410"/>
    </row>
    <row r="290" spans="1:14" ht="14.45" x14ac:dyDescent="0.35">
      <c r="A290" s="347" t="s">
        <v>317</v>
      </c>
      <c r="B290" s="347"/>
      <c r="C290" s="347"/>
      <c r="D290" s="367">
        <f t="shared" ref="D290:J290" si="69">SUM(D233:D287)-D288</f>
        <v>27013928.424151175</v>
      </c>
      <c r="E290" s="367">
        <f t="shared" si="69"/>
        <v>30973742.747331854</v>
      </c>
      <c r="F290" s="367">
        <f t="shared" si="69"/>
        <v>34998529.981300794</v>
      </c>
      <c r="G290" s="367">
        <f t="shared" si="69"/>
        <v>39345713.246968046</v>
      </c>
      <c r="H290" s="367">
        <f t="shared" si="69"/>
        <v>44037568.245715477</v>
      </c>
      <c r="I290" s="367">
        <f t="shared" si="69"/>
        <v>49097792.25898388</v>
      </c>
      <c r="J290" s="367">
        <f t="shared" si="69"/>
        <v>54551590.617025398</v>
      </c>
    </row>
    <row r="291" spans="1:14" ht="14.45" x14ac:dyDescent="0.35">
      <c r="A291" s="347" t="s">
        <v>305</v>
      </c>
      <c r="B291" s="312"/>
      <c r="C291" s="312"/>
      <c r="D291" s="348"/>
      <c r="E291" s="348"/>
      <c r="F291" s="348"/>
      <c r="G291" s="348"/>
      <c r="H291" s="348"/>
      <c r="I291" s="312"/>
      <c r="J291" s="312"/>
    </row>
    <row r="292" spans="1:14" ht="14.45" x14ac:dyDescent="0.35">
      <c r="A292" s="312" t="s">
        <v>184</v>
      </c>
      <c r="B292" s="359">
        <v>1</v>
      </c>
      <c r="C292" s="381">
        <v>15000</v>
      </c>
      <c r="D292" s="340">
        <f t="shared" ref="D292:J292" si="70">$B$292*$C$292*12*D172</f>
        <v>180000</v>
      </c>
      <c r="E292" s="340">
        <f t="shared" si="70"/>
        <v>189000</v>
      </c>
      <c r="F292" s="340">
        <f t="shared" si="70"/>
        <v>198450</v>
      </c>
      <c r="G292" s="340">
        <f t="shared" si="70"/>
        <v>208372.50000000003</v>
      </c>
      <c r="H292" s="340">
        <f t="shared" si="70"/>
        <v>218791.12500000003</v>
      </c>
      <c r="I292" s="340">
        <f t="shared" si="70"/>
        <v>229730.68125000005</v>
      </c>
      <c r="J292" s="340">
        <f t="shared" si="70"/>
        <v>241217.21531250008</v>
      </c>
    </row>
    <row r="293" spans="1:14" ht="14.45" x14ac:dyDescent="0.35">
      <c r="A293" s="312" t="s">
        <v>1302</v>
      </c>
      <c r="B293" s="359">
        <v>1</v>
      </c>
      <c r="C293" s="381">
        <v>10000</v>
      </c>
      <c r="D293" s="340">
        <f t="shared" ref="D293:J293" si="71">$B$293*$C$293*12*D172</f>
        <v>120000</v>
      </c>
      <c r="E293" s="340">
        <f t="shared" si="71"/>
        <v>126000</v>
      </c>
      <c r="F293" s="340">
        <f t="shared" si="71"/>
        <v>132300</v>
      </c>
      <c r="G293" s="340">
        <f t="shared" si="71"/>
        <v>138915.00000000003</v>
      </c>
      <c r="H293" s="340">
        <f t="shared" si="71"/>
        <v>145860.75000000003</v>
      </c>
      <c r="I293" s="340">
        <f t="shared" si="71"/>
        <v>153153.78750000003</v>
      </c>
      <c r="J293" s="340">
        <f t="shared" si="71"/>
        <v>160811.47687500005</v>
      </c>
      <c r="N293" s="311"/>
    </row>
    <row r="294" spans="1:14" ht="14.45" hidden="1" x14ac:dyDescent="0.35">
      <c r="A294" s="312"/>
      <c r="B294" s="359"/>
      <c r="C294" s="381"/>
      <c r="D294" s="340"/>
      <c r="E294" s="340"/>
      <c r="F294" s="340"/>
      <c r="G294" s="340"/>
      <c r="H294" s="340"/>
      <c r="I294" s="340"/>
      <c r="J294" s="340"/>
    </row>
    <row r="295" spans="1:14" ht="14.45" hidden="1" x14ac:dyDescent="0.35">
      <c r="A295" s="312"/>
      <c r="B295" s="359"/>
      <c r="C295" s="381"/>
      <c r="D295" s="340"/>
      <c r="E295" s="340"/>
      <c r="F295" s="340"/>
      <c r="G295" s="340"/>
      <c r="H295" s="340"/>
      <c r="I295" s="340"/>
      <c r="J295" s="340"/>
    </row>
    <row r="296" spans="1:14" ht="14.45" hidden="1" x14ac:dyDescent="0.35">
      <c r="A296" s="312"/>
      <c r="B296" s="359"/>
      <c r="C296" s="381"/>
      <c r="D296" s="340"/>
      <c r="E296" s="340"/>
      <c r="F296" s="340"/>
      <c r="G296" s="340"/>
      <c r="H296" s="340"/>
      <c r="I296" s="340"/>
      <c r="J296" s="340"/>
    </row>
    <row r="297" spans="1:14" ht="14.45" hidden="1" x14ac:dyDescent="0.35">
      <c r="A297" s="312"/>
      <c r="B297" s="359"/>
      <c r="C297" s="381"/>
      <c r="D297" s="340"/>
      <c r="E297" s="340"/>
      <c r="F297" s="340"/>
      <c r="G297" s="340"/>
      <c r="H297" s="340"/>
      <c r="I297" s="340"/>
      <c r="J297" s="340"/>
    </row>
    <row r="298" spans="1:14" ht="14.45" hidden="1" x14ac:dyDescent="0.35">
      <c r="A298" s="312"/>
      <c r="B298" s="359"/>
      <c r="C298" s="381"/>
      <c r="D298" s="340"/>
      <c r="E298" s="340"/>
      <c r="F298" s="340"/>
      <c r="G298" s="340"/>
      <c r="H298" s="340"/>
      <c r="I298" s="340"/>
      <c r="J298" s="340"/>
    </row>
    <row r="299" spans="1:14" ht="14.45" x14ac:dyDescent="0.35">
      <c r="A299" s="347" t="s">
        <v>321</v>
      </c>
      <c r="B299" s="369"/>
      <c r="C299" s="369"/>
      <c r="D299" s="367">
        <f t="shared" ref="D299:J299" si="72">SUM(D292:D298)</f>
        <v>300000</v>
      </c>
      <c r="E299" s="367">
        <f t="shared" si="72"/>
        <v>315000</v>
      </c>
      <c r="F299" s="367">
        <f t="shared" si="72"/>
        <v>330750</v>
      </c>
      <c r="G299" s="367">
        <f t="shared" si="72"/>
        <v>347287.50000000006</v>
      </c>
      <c r="H299" s="367">
        <f t="shared" si="72"/>
        <v>364651.87500000006</v>
      </c>
      <c r="I299" s="367">
        <f t="shared" si="72"/>
        <v>382884.46875000012</v>
      </c>
      <c r="J299" s="367">
        <f t="shared" si="72"/>
        <v>402028.69218750013</v>
      </c>
      <c r="N299" s="311"/>
    </row>
    <row r="300" spans="1:14" ht="14.45" x14ac:dyDescent="0.35">
      <c r="A300" s="347" t="s">
        <v>128</v>
      </c>
      <c r="B300" s="347"/>
      <c r="C300" s="347"/>
      <c r="D300" s="367">
        <f t="shared" ref="D300:J300" si="73">D290+D299</f>
        <v>27313928.424151175</v>
      </c>
      <c r="E300" s="367">
        <f t="shared" si="73"/>
        <v>31288742.747331854</v>
      </c>
      <c r="F300" s="367">
        <f t="shared" si="73"/>
        <v>35329279.981300794</v>
      </c>
      <c r="G300" s="367">
        <f t="shared" si="73"/>
        <v>39693000.746968046</v>
      </c>
      <c r="H300" s="367">
        <f t="shared" si="73"/>
        <v>44402220.120715477</v>
      </c>
      <c r="I300" s="367">
        <f t="shared" si="73"/>
        <v>49480676.72773388</v>
      </c>
      <c r="J300" s="367">
        <f t="shared" si="73"/>
        <v>54953619.309212901</v>
      </c>
    </row>
    <row r="301" spans="1:14" x14ac:dyDescent="0.25">
      <c r="A301" s="312"/>
      <c r="B301" s="312"/>
      <c r="C301" s="312"/>
      <c r="D301" s="348"/>
      <c r="E301" s="348"/>
      <c r="F301" s="348"/>
      <c r="G301" s="348"/>
      <c r="H301" s="348"/>
      <c r="I301" s="312"/>
      <c r="J301" s="312"/>
    </row>
    <row r="302" spans="1:14" x14ac:dyDescent="0.25">
      <c r="A302" s="347"/>
      <c r="B302" s="347"/>
      <c r="C302" s="347"/>
      <c r="D302" s="348"/>
      <c r="E302" s="348"/>
      <c r="F302" s="348"/>
      <c r="G302" s="348"/>
      <c r="H302" s="348"/>
      <c r="I302" s="312"/>
      <c r="J302" s="312"/>
    </row>
    <row r="303" spans="1:14" x14ac:dyDescent="0.25">
      <c r="A303" s="347" t="s">
        <v>309</v>
      </c>
      <c r="B303" s="347"/>
      <c r="C303" s="347"/>
      <c r="D303" s="367">
        <f t="shared" ref="D303:J303" si="74">D229-D300</f>
        <v>2348044.3177905902</v>
      </c>
      <c r="E303" s="367">
        <f t="shared" si="74"/>
        <v>2660436.3265237398</v>
      </c>
      <c r="F303" s="367">
        <f t="shared" si="74"/>
        <v>3060811.7364044413</v>
      </c>
      <c r="G303" s="367">
        <f t="shared" si="74"/>
        <v>3497221.9312871844</v>
      </c>
      <c r="H303" s="367">
        <f t="shared" si="74"/>
        <v>3972171.3848504797</v>
      </c>
      <c r="I303" s="367">
        <f t="shared" si="74"/>
        <v>4488324.9311782271</v>
      </c>
      <c r="J303" s="367">
        <f t="shared" si="74"/>
        <v>5048517.5396160632</v>
      </c>
    </row>
    <row r="305" spans="1:10" x14ac:dyDescent="0.25">
      <c r="A305" s="192" t="s">
        <v>50</v>
      </c>
      <c r="D305" s="322">
        <f t="shared" ref="D305:J305" si="75">D303/D229</f>
        <v>7.9160086155378215E-2</v>
      </c>
      <c r="E305" s="322">
        <f t="shared" si="75"/>
        <v>7.8365262404019462E-2</v>
      </c>
      <c r="F305" s="322">
        <f t="shared" si="75"/>
        <v>7.9729211352543267E-2</v>
      </c>
      <c r="G305" s="322">
        <f t="shared" si="75"/>
        <v>8.0972537635188288E-2</v>
      </c>
      <c r="H305" s="322">
        <f t="shared" si="75"/>
        <v>8.2113102846853206E-2</v>
      </c>
      <c r="I305" s="322">
        <f t="shared" si="75"/>
        <v>8.3164868595212424E-2</v>
      </c>
      <c r="J305" s="322">
        <f t="shared" si="75"/>
        <v>8.4138962456211136E-2</v>
      </c>
    </row>
    <row r="306" spans="1:10" x14ac:dyDescent="0.25">
      <c r="A306" s="565" t="s">
        <v>414</v>
      </c>
      <c r="B306" s="565"/>
      <c r="C306" s="565"/>
      <c r="D306" s="565"/>
      <c r="E306" s="565"/>
      <c r="F306" s="565"/>
      <c r="G306" s="565"/>
      <c r="H306" s="565"/>
      <c r="I306" s="565"/>
      <c r="J306" s="565"/>
    </row>
    <row r="308" spans="1:10" x14ac:dyDescent="0.25">
      <c r="A308" s="192" t="s">
        <v>518</v>
      </c>
    </row>
    <row r="309" spans="1:10" x14ac:dyDescent="0.25">
      <c r="A309" s="192">
        <v>1</v>
      </c>
      <c r="B309" s="192" t="s">
        <v>531</v>
      </c>
    </row>
    <row r="310" spans="1:10" x14ac:dyDescent="0.25">
      <c r="A310" s="192">
        <v>2</v>
      </c>
      <c r="B310" s="192" t="s">
        <v>532</v>
      </c>
    </row>
    <row r="311" spans="1:10" x14ac:dyDescent="0.25">
      <c r="A311" s="192">
        <v>3</v>
      </c>
      <c r="B311" s="192" t="s">
        <v>581</v>
      </c>
    </row>
  </sheetData>
  <mergeCells count="5">
    <mergeCell ref="A170:J170"/>
    <mergeCell ref="A2:H2"/>
    <mergeCell ref="A306:J306"/>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20"/>
  <sheetViews>
    <sheetView view="pageBreakPreview" topLeftCell="A189" zoomScale="90" zoomScaleNormal="100" zoomScaleSheetLayoutView="90" workbookViewId="0">
      <selection activeCell="A203" sqref="A203"/>
    </sheetView>
  </sheetViews>
  <sheetFormatPr defaultColWidth="8.7109375" defaultRowHeight="15" x14ac:dyDescent="0.25"/>
  <cols>
    <col min="1" max="1" width="41.7109375" style="192" bestFit="1" customWidth="1"/>
    <col min="2" max="2" width="10.5703125" style="192" customWidth="1"/>
    <col min="3" max="3" width="10.5703125" style="192" bestFit="1" customWidth="1"/>
    <col min="4" max="4" width="13.42578125" style="192" bestFit="1" customWidth="1"/>
    <col min="5" max="5" width="13.5703125" style="192" bestFit="1" customWidth="1"/>
    <col min="6" max="8" width="13.42578125" style="192" bestFit="1" customWidth="1"/>
    <col min="9" max="10" width="14" style="192" bestFit="1" customWidth="1"/>
    <col min="11" max="16384" width="8.7109375" style="192"/>
  </cols>
  <sheetData>
    <row r="3" spans="1:10" ht="14.45" x14ac:dyDescent="0.35">
      <c r="A3" s="565" t="s">
        <v>697</v>
      </c>
      <c r="B3" s="565"/>
      <c r="C3" s="565"/>
      <c r="D3" s="565"/>
      <c r="E3" s="565"/>
      <c r="F3" s="565"/>
      <c r="G3" s="565"/>
      <c r="H3" s="565"/>
    </row>
    <row r="4" spans="1:10" ht="14.45" x14ac:dyDescent="0.35">
      <c r="A4" s="565" t="s">
        <v>567</v>
      </c>
      <c r="B4" s="565"/>
      <c r="C4" s="565"/>
      <c r="D4" s="565"/>
      <c r="E4" s="565"/>
      <c r="F4" s="565"/>
      <c r="G4" s="565"/>
      <c r="H4" s="565"/>
    </row>
    <row r="5" spans="1:10" ht="14.45" x14ac:dyDescent="0.35">
      <c r="A5" s="192" t="s">
        <v>157</v>
      </c>
      <c r="B5" s="383">
        <v>0.2</v>
      </c>
      <c r="C5" s="192" t="s">
        <v>458</v>
      </c>
    </row>
    <row r="6" spans="1:10" ht="14.45" x14ac:dyDescent="0.35">
      <c r="A6" s="192" t="s">
        <v>158</v>
      </c>
      <c r="B6" s="384">
        <v>8</v>
      </c>
    </row>
    <row r="9" spans="1:10" ht="14.45" x14ac:dyDescent="0.35">
      <c r="A9" s="273" t="s">
        <v>0</v>
      </c>
      <c r="B9" s="274" t="s">
        <v>2</v>
      </c>
      <c r="C9" s="274" t="s">
        <v>3</v>
      </c>
      <c r="D9" s="274" t="s">
        <v>4</v>
      </c>
      <c r="E9" s="274" t="s">
        <v>5</v>
      </c>
      <c r="F9" s="274" t="s">
        <v>6</v>
      </c>
      <c r="G9" s="274" t="s">
        <v>165</v>
      </c>
      <c r="H9" s="274" t="s">
        <v>164</v>
      </c>
    </row>
    <row r="10" spans="1:10" ht="14.45" x14ac:dyDescent="0.35">
      <c r="A10" s="312" t="s">
        <v>166</v>
      </c>
      <c r="B10" s="385">
        <f>B30/($B$5*$B$6)</f>
        <v>240.71256000000005</v>
      </c>
      <c r="C10" s="385">
        <f t="shared" ref="C10:H10" si="0">C30/($B$5*$B$6)</f>
        <v>256.76006400000006</v>
      </c>
      <c r="D10" s="385">
        <f t="shared" si="0"/>
        <v>272.80756800000006</v>
      </c>
      <c r="E10" s="385">
        <f t="shared" si="0"/>
        <v>288.85507200000006</v>
      </c>
      <c r="F10" s="385">
        <f t="shared" si="0"/>
        <v>304.90257600000007</v>
      </c>
      <c r="G10" s="385">
        <f t="shared" si="0"/>
        <v>320.95008000000013</v>
      </c>
      <c r="H10" s="385">
        <f t="shared" si="0"/>
        <v>336.99758400000013</v>
      </c>
      <c r="J10" s="386">
        <f>AVERAGE(B10:H10)</f>
        <v>288.85507200000012</v>
      </c>
    </row>
    <row r="11" spans="1:10" ht="14.45" hidden="1" x14ac:dyDescent="0.35">
      <c r="A11" s="312" t="str">
        <f>Grain!A74</f>
        <v>Soybean</v>
      </c>
      <c r="B11" s="312">
        <f>Grain!B74</f>
        <v>0</v>
      </c>
      <c r="C11" s="312">
        <f>Grain!C74</f>
        <v>0</v>
      </c>
      <c r="D11" s="312">
        <f>Grain!D74</f>
        <v>0</v>
      </c>
      <c r="E11" s="312">
        <f>Grain!E74</f>
        <v>0</v>
      </c>
      <c r="F11" s="312">
        <f>Grain!F74</f>
        <v>0</v>
      </c>
      <c r="G11" s="312">
        <f>Grain!G74</f>
        <v>0</v>
      </c>
      <c r="H11" s="312">
        <f>Grain!H74</f>
        <v>0</v>
      </c>
    </row>
    <row r="12" spans="1:10" ht="14.45" hidden="1" x14ac:dyDescent="0.35">
      <c r="A12" s="312" t="str">
        <f>Grain!A75</f>
        <v>Red Gram/Tur</v>
      </c>
      <c r="B12" s="312">
        <f>Grain!B75</f>
        <v>0</v>
      </c>
      <c r="C12" s="312">
        <f>Grain!C75</f>
        <v>0</v>
      </c>
      <c r="D12" s="312">
        <f>Grain!D75</f>
        <v>0</v>
      </c>
      <c r="E12" s="312">
        <f>Grain!E75</f>
        <v>0</v>
      </c>
      <c r="F12" s="312">
        <f>Grain!F75</f>
        <v>0</v>
      </c>
      <c r="G12" s="312">
        <f>Grain!G75</f>
        <v>0</v>
      </c>
      <c r="H12" s="312">
        <f>Grain!H75</f>
        <v>0</v>
      </c>
    </row>
    <row r="13" spans="1:10" ht="14.45" hidden="1" x14ac:dyDescent="0.35">
      <c r="A13" s="312" t="str">
        <f>Grain!A76</f>
        <v>Paddy/Rice</v>
      </c>
      <c r="B13" s="312">
        <f>Grain!B76</f>
        <v>0</v>
      </c>
      <c r="C13" s="312">
        <f>Grain!C76</f>
        <v>0</v>
      </c>
      <c r="D13" s="312">
        <f>Grain!D76</f>
        <v>0</v>
      </c>
      <c r="E13" s="312">
        <f>Grain!E76</f>
        <v>0</v>
      </c>
      <c r="F13" s="312">
        <f>Grain!F76</f>
        <v>0</v>
      </c>
      <c r="G13" s="312">
        <f>Grain!G76</f>
        <v>0</v>
      </c>
      <c r="H13" s="312">
        <f>Grain!H76</f>
        <v>0</v>
      </c>
    </row>
    <row r="14" spans="1:10" ht="14.45" hidden="1" x14ac:dyDescent="0.35">
      <c r="A14" s="312" t="str">
        <f>Grain!A77</f>
        <v>Masoor/ Moong</v>
      </c>
      <c r="B14" s="312">
        <f>Grain!B77</f>
        <v>0</v>
      </c>
      <c r="C14" s="312">
        <f>Grain!C77</f>
        <v>0</v>
      </c>
      <c r="D14" s="312">
        <f>Grain!D77</f>
        <v>0</v>
      </c>
      <c r="E14" s="312">
        <f>Grain!E77</f>
        <v>0</v>
      </c>
      <c r="F14" s="312">
        <f>Grain!F77</f>
        <v>0</v>
      </c>
      <c r="G14" s="312">
        <f>Grain!G77</f>
        <v>0</v>
      </c>
      <c r="H14" s="312">
        <f>Grain!H77</f>
        <v>0</v>
      </c>
    </row>
    <row r="15" spans="1:10" ht="14.45" hidden="1" x14ac:dyDescent="0.35">
      <c r="A15" s="312" t="str">
        <f>Grain!A78</f>
        <v>Sweet Potato</v>
      </c>
      <c r="B15" s="312">
        <f>Grain!B78</f>
        <v>0</v>
      </c>
      <c r="C15" s="312">
        <f>Grain!C78</f>
        <v>0</v>
      </c>
      <c r="D15" s="312">
        <f>Grain!D78</f>
        <v>0</v>
      </c>
      <c r="E15" s="312">
        <f>Grain!E78</f>
        <v>0</v>
      </c>
      <c r="F15" s="312">
        <f>Grain!F78</f>
        <v>0</v>
      </c>
      <c r="G15" s="312">
        <f>Grain!G78</f>
        <v>0</v>
      </c>
      <c r="H15" s="312">
        <f>Grain!H78</f>
        <v>0</v>
      </c>
    </row>
    <row r="16" spans="1:10" ht="14.45" hidden="1" x14ac:dyDescent="0.35">
      <c r="A16" s="312" t="str">
        <f>Grain!A79</f>
        <v>Black Gram/Udid</v>
      </c>
      <c r="B16" s="312">
        <f>Grain!B79</f>
        <v>0</v>
      </c>
      <c r="C16" s="312">
        <f>Grain!C79</f>
        <v>0</v>
      </c>
      <c r="D16" s="312">
        <f>Grain!D79</f>
        <v>0</v>
      </c>
      <c r="E16" s="312">
        <f>Grain!E79</f>
        <v>0</v>
      </c>
      <c r="F16" s="312">
        <f>Grain!F79</f>
        <v>0</v>
      </c>
      <c r="G16" s="312">
        <f>Grain!G79</f>
        <v>0</v>
      </c>
      <c r="H16" s="312">
        <f>Grain!H79</f>
        <v>0</v>
      </c>
    </row>
    <row r="17" spans="1:8" ht="14.45" hidden="1" x14ac:dyDescent="0.35">
      <c r="A17" s="312" t="str">
        <f>Grain!A80</f>
        <v>RAGI</v>
      </c>
      <c r="B17" s="312">
        <f>Grain!B80</f>
        <v>0</v>
      </c>
      <c r="C17" s="312">
        <f>Grain!C80</f>
        <v>0</v>
      </c>
      <c r="D17" s="312">
        <f>Grain!D80</f>
        <v>0</v>
      </c>
      <c r="E17" s="312">
        <f>Grain!E80</f>
        <v>0</v>
      </c>
      <c r="F17" s="312">
        <f>Grain!F80</f>
        <v>0</v>
      </c>
      <c r="G17" s="312">
        <f>Grain!G80</f>
        <v>0</v>
      </c>
      <c r="H17" s="312">
        <f>Grain!H80</f>
        <v>0</v>
      </c>
    </row>
    <row r="18" spans="1:8" ht="14.45" hidden="1" x14ac:dyDescent="0.35">
      <c r="A18" s="312" t="str">
        <f>Grain!A81</f>
        <v>Jawar</v>
      </c>
      <c r="B18" s="312">
        <f>Grain!B81</f>
        <v>0</v>
      </c>
      <c r="C18" s="312">
        <f>Grain!C81</f>
        <v>0</v>
      </c>
      <c r="D18" s="312">
        <f>Grain!D81</f>
        <v>0</v>
      </c>
      <c r="E18" s="312">
        <f>Grain!E81</f>
        <v>0</v>
      </c>
      <c r="F18" s="312">
        <f>Grain!F81</f>
        <v>0</v>
      </c>
      <c r="G18" s="312">
        <f>Grain!G81</f>
        <v>0</v>
      </c>
      <c r="H18" s="312">
        <f>Grain!H81</f>
        <v>0</v>
      </c>
    </row>
    <row r="19" spans="1:8" ht="14.45" hidden="1" x14ac:dyDescent="0.35">
      <c r="A19" s="312" t="str">
        <f>Grain!A82</f>
        <v>Sunflower</v>
      </c>
      <c r="B19" s="312">
        <f>Grain!B82</f>
        <v>0</v>
      </c>
      <c r="C19" s="312">
        <f>Grain!C82</f>
        <v>0</v>
      </c>
      <c r="D19" s="312">
        <f>Grain!D82</f>
        <v>0</v>
      </c>
      <c r="E19" s="312">
        <f>Grain!E82</f>
        <v>0</v>
      </c>
      <c r="F19" s="312">
        <f>Grain!F82</f>
        <v>0</v>
      </c>
      <c r="G19" s="312">
        <f>Grain!G82</f>
        <v>0</v>
      </c>
      <c r="H19" s="312">
        <f>Grain!H82</f>
        <v>0</v>
      </c>
    </row>
    <row r="20" spans="1:8" ht="14.45" hidden="1" x14ac:dyDescent="0.35">
      <c r="A20" s="312" t="str">
        <f>Grain!A83</f>
        <v>Wheat</v>
      </c>
      <c r="B20" s="312">
        <f>Grain!B83</f>
        <v>0</v>
      </c>
      <c r="C20" s="312">
        <f>Grain!C83</f>
        <v>0</v>
      </c>
      <c r="D20" s="312">
        <f>Grain!D83</f>
        <v>0</v>
      </c>
      <c r="E20" s="312">
        <f>Grain!E83</f>
        <v>0</v>
      </c>
      <c r="F20" s="312">
        <f>Grain!F83</f>
        <v>0</v>
      </c>
      <c r="G20" s="312">
        <f>Grain!G83</f>
        <v>0</v>
      </c>
      <c r="H20" s="312">
        <f>Grain!H83</f>
        <v>0</v>
      </c>
    </row>
    <row r="21" spans="1:8" ht="14.45" hidden="1" x14ac:dyDescent="0.35">
      <c r="A21" s="312" t="str">
        <f>Grain!A84</f>
        <v>Bengal Gram/Channa</v>
      </c>
      <c r="B21" s="312">
        <f>Grain!B84</f>
        <v>0</v>
      </c>
      <c r="C21" s="312">
        <f>Grain!C84</f>
        <v>0</v>
      </c>
      <c r="D21" s="312">
        <f>Grain!D84</f>
        <v>0</v>
      </c>
      <c r="E21" s="312">
        <f>Grain!E84</f>
        <v>0</v>
      </c>
      <c r="F21" s="312">
        <f>Grain!F84</f>
        <v>0</v>
      </c>
      <c r="G21" s="312">
        <f>Grain!G84</f>
        <v>0</v>
      </c>
      <c r="H21" s="312">
        <f>Grain!H84</f>
        <v>0</v>
      </c>
    </row>
    <row r="22" spans="1:8" ht="14.45" hidden="1" x14ac:dyDescent="0.35">
      <c r="A22" s="312" t="str">
        <f>Grain!A85</f>
        <v>Jawar</v>
      </c>
      <c r="B22" s="312">
        <f>Grain!B85</f>
        <v>0</v>
      </c>
      <c r="C22" s="312">
        <f>Grain!C85</f>
        <v>0</v>
      </c>
      <c r="D22" s="312">
        <f>Grain!D85</f>
        <v>0</v>
      </c>
      <c r="E22" s="312">
        <f>Grain!E85</f>
        <v>0</v>
      </c>
      <c r="F22" s="312">
        <f>Grain!F85</f>
        <v>0</v>
      </c>
      <c r="G22" s="312">
        <f>Grain!G85</f>
        <v>0</v>
      </c>
      <c r="H22" s="312">
        <f>Grain!H85</f>
        <v>0</v>
      </c>
    </row>
    <row r="23" spans="1:8" ht="14.45" hidden="1" x14ac:dyDescent="0.35">
      <c r="A23" s="312" t="str">
        <f>Grain!A86</f>
        <v>Sweet Potato</v>
      </c>
      <c r="B23" s="312">
        <f>Grain!B86</f>
        <v>0</v>
      </c>
      <c r="C23" s="312">
        <f>Grain!C86</f>
        <v>0</v>
      </c>
      <c r="D23" s="312">
        <f>Grain!D86</f>
        <v>0</v>
      </c>
      <c r="E23" s="312">
        <f>Grain!E86</f>
        <v>0</v>
      </c>
      <c r="F23" s="312">
        <f>Grain!F86</f>
        <v>0</v>
      </c>
      <c r="G23" s="312">
        <f>Grain!G86</f>
        <v>0</v>
      </c>
      <c r="H23" s="312">
        <f>Grain!H86</f>
        <v>0</v>
      </c>
    </row>
    <row r="24" spans="1:8" ht="14.45" hidden="1" x14ac:dyDescent="0.35">
      <c r="A24" s="312" t="str">
        <f>Grain!A87</f>
        <v>Safflower</v>
      </c>
      <c r="B24" s="312">
        <f>Grain!B87</f>
        <v>0</v>
      </c>
      <c r="C24" s="312">
        <f>Grain!C87</f>
        <v>0</v>
      </c>
      <c r="D24" s="312">
        <f>Grain!D87</f>
        <v>0</v>
      </c>
      <c r="E24" s="312">
        <f>Grain!E87</f>
        <v>0</v>
      </c>
      <c r="F24" s="312">
        <f>Grain!F87</f>
        <v>0</v>
      </c>
      <c r="G24" s="312">
        <f>Grain!G87</f>
        <v>0</v>
      </c>
      <c r="H24" s="312">
        <f>Grain!H87</f>
        <v>0</v>
      </c>
    </row>
    <row r="25" spans="1:8" ht="14.45" hidden="1" x14ac:dyDescent="0.35">
      <c r="A25" s="312">
        <f>Grain!A88</f>
        <v>0</v>
      </c>
      <c r="B25" s="312">
        <f>Grain!B88</f>
        <v>0</v>
      </c>
      <c r="C25" s="312">
        <f>Grain!C88</f>
        <v>0</v>
      </c>
      <c r="D25" s="312">
        <f>Grain!D88</f>
        <v>0</v>
      </c>
      <c r="E25" s="312">
        <f>Grain!E88</f>
        <v>0</v>
      </c>
      <c r="F25" s="312">
        <f>Grain!F88</f>
        <v>0</v>
      </c>
      <c r="G25" s="312">
        <f>Grain!G88</f>
        <v>0</v>
      </c>
      <c r="H25" s="312">
        <f>Grain!H88</f>
        <v>0</v>
      </c>
    </row>
    <row r="26" spans="1:8" ht="14.45" hidden="1" x14ac:dyDescent="0.35">
      <c r="A26" s="312">
        <f>Grain!A89</f>
        <v>0</v>
      </c>
      <c r="B26" s="312">
        <f>Grain!B89</f>
        <v>0</v>
      </c>
      <c r="C26" s="312">
        <f>Grain!C89</f>
        <v>0</v>
      </c>
      <c r="D26" s="312">
        <f>Grain!D89</f>
        <v>0</v>
      </c>
      <c r="E26" s="312">
        <f>Grain!E89</f>
        <v>0</v>
      </c>
      <c r="F26" s="312">
        <f>Grain!F89</f>
        <v>0</v>
      </c>
      <c r="G26" s="312">
        <f>Grain!G89</f>
        <v>0</v>
      </c>
      <c r="H26" s="312">
        <f>Grain!H89</f>
        <v>0</v>
      </c>
    </row>
    <row r="27" spans="1:8" ht="14.45" hidden="1" x14ac:dyDescent="0.35">
      <c r="A27" s="312">
        <f>Grain!A90</f>
        <v>0</v>
      </c>
      <c r="B27" s="312">
        <f>Grain!B90</f>
        <v>0</v>
      </c>
      <c r="C27" s="312">
        <f>Grain!C90</f>
        <v>0</v>
      </c>
      <c r="D27" s="312">
        <f>Grain!D90</f>
        <v>0</v>
      </c>
      <c r="E27" s="312">
        <f>Grain!E90</f>
        <v>0</v>
      </c>
      <c r="F27" s="312">
        <f>Grain!F90</f>
        <v>0</v>
      </c>
      <c r="G27" s="312">
        <f>Grain!G90</f>
        <v>0</v>
      </c>
      <c r="H27" s="312">
        <f>Grain!H90</f>
        <v>0</v>
      </c>
    </row>
    <row r="28" spans="1:8" ht="14.45" hidden="1" x14ac:dyDescent="0.35">
      <c r="A28" s="312" t="str">
        <f>Grain!A91</f>
        <v>Groundnut</v>
      </c>
      <c r="B28" s="312">
        <f>Grain!B91</f>
        <v>0</v>
      </c>
      <c r="C28" s="312">
        <f>Grain!C91</f>
        <v>0</v>
      </c>
      <c r="D28" s="312">
        <f>Grain!D91</f>
        <v>0</v>
      </c>
      <c r="E28" s="312">
        <f>Grain!E91</f>
        <v>0</v>
      </c>
      <c r="F28" s="312">
        <f>Grain!F91</f>
        <v>0</v>
      </c>
      <c r="G28" s="312">
        <f>Grain!G91</f>
        <v>0</v>
      </c>
      <c r="H28" s="312">
        <f>Grain!H91</f>
        <v>0</v>
      </c>
    </row>
    <row r="29" spans="1:8" ht="14.45" x14ac:dyDescent="0.35">
      <c r="A29" s="312" t="str">
        <f>Grain!A92</f>
        <v>RAGI</v>
      </c>
      <c r="B29" s="385">
        <f>Grain!B92</f>
        <v>385.14009600000009</v>
      </c>
      <c r="C29" s="385">
        <f>Grain!C92</f>
        <v>410.81610240000009</v>
      </c>
      <c r="D29" s="385">
        <f>Grain!D92</f>
        <v>436.49210880000015</v>
      </c>
      <c r="E29" s="385">
        <f>Grain!E92</f>
        <v>462.16811520000016</v>
      </c>
      <c r="F29" s="385">
        <f>Grain!F92</f>
        <v>487.84412160000016</v>
      </c>
      <c r="G29" s="385">
        <f>Grain!G92</f>
        <v>513.52012800000023</v>
      </c>
      <c r="H29" s="385">
        <f>Grain!H92</f>
        <v>539.19613440000023</v>
      </c>
    </row>
    <row r="30" spans="1:8" ht="14.45" x14ac:dyDescent="0.35">
      <c r="A30" s="347" t="s">
        <v>449</v>
      </c>
      <c r="B30" s="387">
        <f>SUM(B11:B29)</f>
        <v>385.14009600000009</v>
      </c>
      <c r="C30" s="387">
        <f t="shared" ref="C30:H30" si="1">SUM(C11:C29)</f>
        <v>410.81610240000009</v>
      </c>
      <c r="D30" s="387">
        <f t="shared" si="1"/>
        <v>436.49210880000015</v>
      </c>
      <c r="E30" s="387">
        <f t="shared" si="1"/>
        <v>462.16811520000016</v>
      </c>
      <c r="F30" s="387">
        <f t="shared" si="1"/>
        <v>487.84412160000016</v>
      </c>
      <c r="G30" s="387">
        <f t="shared" si="1"/>
        <v>513.52012800000023</v>
      </c>
      <c r="H30" s="387">
        <f t="shared" si="1"/>
        <v>539.19613440000023</v>
      </c>
    </row>
    <row r="31" spans="1:8" ht="14.45" x14ac:dyDescent="0.35">
      <c r="A31" s="388" t="s">
        <v>707</v>
      </c>
      <c r="B31" s="308">
        <v>0</v>
      </c>
      <c r="C31" s="308">
        <f>B31</f>
        <v>0</v>
      </c>
      <c r="D31" s="308">
        <f t="shared" ref="D31:H31" si="2">C31</f>
        <v>0</v>
      </c>
      <c r="E31" s="308">
        <f t="shared" si="2"/>
        <v>0</v>
      </c>
      <c r="F31" s="308">
        <f t="shared" si="2"/>
        <v>0</v>
      </c>
      <c r="G31" s="308">
        <f t="shared" si="2"/>
        <v>0</v>
      </c>
      <c r="H31" s="308">
        <f t="shared" si="2"/>
        <v>0</v>
      </c>
    </row>
    <row r="32" spans="1:8" ht="14.45" x14ac:dyDescent="0.35">
      <c r="A32" s="360" t="s">
        <v>459</v>
      </c>
      <c r="B32" s="389">
        <f>1-B31</f>
        <v>1</v>
      </c>
      <c r="C32" s="389">
        <f t="shared" ref="C32:H32" si="3">1-C31</f>
        <v>1</v>
      </c>
      <c r="D32" s="389">
        <f t="shared" si="3"/>
        <v>1</v>
      </c>
      <c r="E32" s="389">
        <f t="shared" si="3"/>
        <v>1</v>
      </c>
      <c r="F32" s="389">
        <f t="shared" si="3"/>
        <v>1</v>
      </c>
      <c r="G32" s="389">
        <f t="shared" si="3"/>
        <v>1</v>
      </c>
      <c r="H32" s="389">
        <f t="shared" si="3"/>
        <v>1</v>
      </c>
    </row>
    <row r="33" spans="1:8" ht="14.45" x14ac:dyDescent="0.35">
      <c r="A33" s="347" t="s">
        <v>706</v>
      </c>
      <c r="B33" s="382">
        <f>B30*B31</f>
        <v>0</v>
      </c>
      <c r="C33" s="382">
        <f t="shared" ref="C33:H33" si="4">C30*C31</f>
        <v>0</v>
      </c>
      <c r="D33" s="382">
        <f t="shared" si="4"/>
        <v>0</v>
      </c>
      <c r="E33" s="382">
        <f t="shared" si="4"/>
        <v>0</v>
      </c>
      <c r="F33" s="382">
        <f t="shared" si="4"/>
        <v>0</v>
      </c>
      <c r="G33" s="382">
        <f t="shared" si="4"/>
        <v>0</v>
      </c>
      <c r="H33" s="382">
        <f t="shared" si="4"/>
        <v>0</v>
      </c>
    </row>
    <row r="34" spans="1:8" ht="14.45" x14ac:dyDescent="0.35">
      <c r="A34" s="347" t="s">
        <v>705</v>
      </c>
      <c r="B34" s="367"/>
      <c r="C34" s="367"/>
      <c r="D34" s="367"/>
      <c r="E34" s="367"/>
      <c r="F34" s="367"/>
      <c r="G34" s="367"/>
      <c r="H34" s="367"/>
    </row>
    <row r="35" spans="1:8" ht="14.45" hidden="1" x14ac:dyDescent="0.35">
      <c r="A35" s="312" t="str">
        <f t="shared" ref="A35:A53" si="5">A11</f>
        <v>Soybean</v>
      </c>
      <c r="B35" s="340">
        <f t="shared" ref="B35:B53" si="6">B11*$B$32</f>
        <v>0</v>
      </c>
      <c r="C35" s="340">
        <f t="shared" ref="C35:H35" si="7">C11*$B$32</f>
        <v>0</v>
      </c>
      <c r="D35" s="340">
        <f t="shared" si="7"/>
        <v>0</v>
      </c>
      <c r="E35" s="340">
        <f t="shared" si="7"/>
        <v>0</v>
      </c>
      <c r="F35" s="340">
        <f t="shared" si="7"/>
        <v>0</v>
      </c>
      <c r="G35" s="340">
        <f t="shared" si="7"/>
        <v>0</v>
      </c>
      <c r="H35" s="340">
        <f t="shared" si="7"/>
        <v>0</v>
      </c>
    </row>
    <row r="36" spans="1:8" ht="14.45" hidden="1" x14ac:dyDescent="0.35">
      <c r="A36" s="312" t="str">
        <f t="shared" si="5"/>
        <v>Red Gram/Tur</v>
      </c>
      <c r="B36" s="340">
        <f t="shared" si="6"/>
        <v>0</v>
      </c>
      <c r="C36" s="340">
        <f t="shared" ref="C36:C53" si="8">C12*$C$32</f>
        <v>0</v>
      </c>
      <c r="D36" s="340">
        <f t="shared" ref="D36:D53" si="9">D12*$D$32</f>
        <v>0</v>
      </c>
      <c r="E36" s="340">
        <f t="shared" ref="E36:E53" si="10">E12*$E$32</f>
        <v>0</v>
      </c>
      <c r="F36" s="340">
        <f t="shared" ref="F36:F53" si="11">F12*$F$32</f>
        <v>0</v>
      </c>
      <c r="G36" s="340">
        <f t="shared" ref="G36:G53" si="12">G12*$G$32</f>
        <v>0</v>
      </c>
      <c r="H36" s="340">
        <f t="shared" ref="H36:H53" si="13">H12*$H$32</f>
        <v>0</v>
      </c>
    </row>
    <row r="37" spans="1:8" ht="14.45" hidden="1" x14ac:dyDescent="0.35">
      <c r="A37" s="312" t="str">
        <f t="shared" si="5"/>
        <v>Paddy/Rice</v>
      </c>
      <c r="B37" s="340">
        <f t="shared" si="6"/>
        <v>0</v>
      </c>
      <c r="C37" s="340">
        <f t="shared" si="8"/>
        <v>0</v>
      </c>
      <c r="D37" s="340">
        <f t="shared" si="9"/>
        <v>0</v>
      </c>
      <c r="E37" s="340">
        <f t="shared" si="10"/>
        <v>0</v>
      </c>
      <c r="F37" s="340">
        <f t="shared" si="11"/>
        <v>0</v>
      </c>
      <c r="G37" s="340">
        <f t="shared" si="12"/>
        <v>0</v>
      </c>
      <c r="H37" s="340">
        <f t="shared" si="13"/>
        <v>0</v>
      </c>
    </row>
    <row r="38" spans="1:8" ht="14.45" hidden="1" x14ac:dyDescent="0.35">
      <c r="A38" s="312" t="str">
        <f t="shared" si="5"/>
        <v>Masoor/ Moong</v>
      </c>
      <c r="B38" s="340">
        <f t="shared" si="6"/>
        <v>0</v>
      </c>
      <c r="C38" s="340">
        <f t="shared" si="8"/>
        <v>0</v>
      </c>
      <c r="D38" s="340">
        <f t="shared" si="9"/>
        <v>0</v>
      </c>
      <c r="E38" s="340">
        <f t="shared" si="10"/>
        <v>0</v>
      </c>
      <c r="F38" s="340">
        <f t="shared" si="11"/>
        <v>0</v>
      </c>
      <c r="G38" s="340">
        <f t="shared" si="12"/>
        <v>0</v>
      </c>
      <c r="H38" s="340">
        <f t="shared" si="13"/>
        <v>0</v>
      </c>
    </row>
    <row r="39" spans="1:8" ht="14.45" hidden="1" x14ac:dyDescent="0.35">
      <c r="A39" s="312" t="str">
        <f t="shared" si="5"/>
        <v>Sweet Potato</v>
      </c>
      <c r="B39" s="340">
        <f t="shared" si="6"/>
        <v>0</v>
      </c>
      <c r="C39" s="340">
        <f t="shared" si="8"/>
        <v>0</v>
      </c>
      <c r="D39" s="340">
        <f t="shared" si="9"/>
        <v>0</v>
      </c>
      <c r="E39" s="340">
        <f t="shared" si="10"/>
        <v>0</v>
      </c>
      <c r="F39" s="340">
        <f t="shared" si="11"/>
        <v>0</v>
      </c>
      <c r="G39" s="340">
        <f t="shared" si="12"/>
        <v>0</v>
      </c>
      <c r="H39" s="340">
        <f t="shared" si="13"/>
        <v>0</v>
      </c>
    </row>
    <row r="40" spans="1:8" ht="14.45" hidden="1" x14ac:dyDescent="0.35">
      <c r="A40" s="312" t="str">
        <f t="shared" si="5"/>
        <v>Black Gram/Udid</v>
      </c>
      <c r="B40" s="340">
        <f t="shared" si="6"/>
        <v>0</v>
      </c>
      <c r="C40" s="340">
        <f t="shared" si="8"/>
        <v>0</v>
      </c>
      <c r="D40" s="340">
        <f t="shared" si="9"/>
        <v>0</v>
      </c>
      <c r="E40" s="340">
        <f t="shared" si="10"/>
        <v>0</v>
      </c>
      <c r="F40" s="340">
        <f t="shared" si="11"/>
        <v>0</v>
      </c>
      <c r="G40" s="340">
        <f t="shared" si="12"/>
        <v>0</v>
      </c>
      <c r="H40" s="340">
        <f t="shared" si="13"/>
        <v>0</v>
      </c>
    </row>
    <row r="41" spans="1:8" ht="14.45" hidden="1" x14ac:dyDescent="0.35">
      <c r="A41" s="312" t="str">
        <f t="shared" si="5"/>
        <v>RAGI</v>
      </c>
      <c r="B41" s="340">
        <f t="shared" si="6"/>
        <v>0</v>
      </c>
      <c r="C41" s="340">
        <f t="shared" si="8"/>
        <v>0</v>
      </c>
      <c r="D41" s="340">
        <f t="shared" si="9"/>
        <v>0</v>
      </c>
      <c r="E41" s="340">
        <f t="shared" si="10"/>
        <v>0</v>
      </c>
      <c r="F41" s="340">
        <f t="shared" si="11"/>
        <v>0</v>
      </c>
      <c r="G41" s="340">
        <f t="shared" si="12"/>
        <v>0</v>
      </c>
      <c r="H41" s="340">
        <f t="shared" si="13"/>
        <v>0</v>
      </c>
    </row>
    <row r="42" spans="1:8" ht="14.45" hidden="1" x14ac:dyDescent="0.35">
      <c r="A42" s="312" t="str">
        <f t="shared" si="5"/>
        <v>Jawar</v>
      </c>
      <c r="B42" s="340">
        <f t="shared" si="6"/>
        <v>0</v>
      </c>
      <c r="C42" s="340">
        <f t="shared" si="8"/>
        <v>0</v>
      </c>
      <c r="D42" s="340">
        <f t="shared" si="9"/>
        <v>0</v>
      </c>
      <c r="E42" s="340">
        <f t="shared" si="10"/>
        <v>0</v>
      </c>
      <c r="F42" s="340">
        <f t="shared" si="11"/>
        <v>0</v>
      </c>
      <c r="G42" s="340">
        <f t="shared" si="12"/>
        <v>0</v>
      </c>
      <c r="H42" s="340">
        <f t="shared" si="13"/>
        <v>0</v>
      </c>
    </row>
    <row r="43" spans="1:8" ht="14.45" hidden="1" x14ac:dyDescent="0.35">
      <c r="A43" s="312" t="str">
        <f t="shared" si="5"/>
        <v>Sunflower</v>
      </c>
      <c r="B43" s="340">
        <f t="shared" si="6"/>
        <v>0</v>
      </c>
      <c r="C43" s="340">
        <f t="shared" si="8"/>
        <v>0</v>
      </c>
      <c r="D43" s="340">
        <f t="shared" si="9"/>
        <v>0</v>
      </c>
      <c r="E43" s="340">
        <f t="shared" si="10"/>
        <v>0</v>
      </c>
      <c r="F43" s="340">
        <f t="shared" si="11"/>
        <v>0</v>
      </c>
      <c r="G43" s="340">
        <f t="shared" si="12"/>
        <v>0</v>
      </c>
      <c r="H43" s="340">
        <f t="shared" si="13"/>
        <v>0</v>
      </c>
    </row>
    <row r="44" spans="1:8" ht="14.45" hidden="1" x14ac:dyDescent="0.35">
      <c r="A44" s="312" t="str">
        <f t="shared" si="5"/>
        <v>Wheat</v>
      </c>
      <c r="B44" s="340">
        <f t="shared" si="6"/>
        <v>0</v>
      </c>
      <c r="C44" s="340">
        <f t="shared" si="8"/>
        <v>0</v>
      </c>
      <c r="D44" s="340">
        <f t="shared" si="9"/>
        <v>0</v>
      </c>
      <c r="E44" s="340">
        <f t="shared" si="10"/>
        <v>0</v>
      </c>
      <c r="F44" s="340">
        <f t="shared" si="11"/>
        <v>0</v>
      </c>
      <c r="G44" s="340">
        <f t="shared" si="12"/>
        <v>0</v>
      </c>
      <c r="H44" s="340">
        <f t="shared" si="13"/>
        <v>0</v>
      </c>
    </row>
    <row r="45" spans="1:8" ht="14.45" hidden="1" x14ac:dyDescent="0.35">
      <c r="A45" s="312" t="str">
        <f t="shared" si="5"/>
        <v>Bengal Gram/Channa</v>
      </c>
      <c r="B45" s="340">
        <f t="shared" si="6"/>
        <v>0</v>
      </c>
      <c r="C45" s="340">
        <f t="shared" si="8"/>
        <v>0</v>
      </c>
      <c r="D45" s="340">
        <f t="shared" si="9"/>
        <v>0</v>
      </c>
      <c r="E45" s="340">
        <f t="shared" si="10"/>
        <v>0</v>
      </c>
      <c r="F45" s="340">
        <f t="shared" si="11"/>
        <v>0</v>
      </c>
      <c r="G45" s="340">
        <f t="shared" si="12"/>
        <v>0</v>
      </c>
      <c r="H45" s="340">
        <f t="shared" si="13"/>
        <v>0</v>
      </c>
    </row>
    <row r="46" spans="1:8" ht="14.45" hidden="1" x14ac:dyDescent="0.35">
      <c r="A46" s="312" t="str">
        <f t="shared" si="5"/>
        <v>Jawar</v>
      </c>
      <c r="B46" s="340">
        <f t="shared" si="6"/>
        <v>0</v>
      </c>
      <c r="C46" s="340">
        <f t="shared" si="8"/>
        <v>0</v>
      </c>
      <c r="D46" s="340">
        <f t="shared" si="9"/>
        <v>0</v>
      </c>
      <c r="E46" s="340">
        <f t="shared" si="10"/>
        <v>0</v>
      </c>
      <c r="F46" s="340">
        <f t="shared" si="11"/>
        <v>0</v>
      </c>
      <c r="G46" s="340">
        <f t="shared" si="12"/>
        <v>0</v>
      </c>
      <c r="H46" s="340">
        <f t="shared" si="13"/>
        <v>0</v>
      </c>
    </row>
    <row r="47" spans="1:8" ht="14.45" hidden="1" x14ac:dyDescent="0.35">
      <c r="A47" s="312" t="str">
        <f t="shared" si="5"/>
        <v>Sweet Potato</v>
      </c>
      <c r="B47" s="340">
        <f t="shared" si="6"/>
        <v>0</v>
      </c>
      <c r="C47" s="340">
        <f t="shared" si="8"/>
        <v>0</v>
      </c>
      <c r="D47" s="340">
        <f t="shared" si="9"/>
        <v>0</v>
      </c>
      <c r="E47" s="340">
        <f t="shared" si="10"/>
        <v>0</v>
      </c>
      <c r="F47" s="340">
        <f t="shared" si="11"/>
        <v>0</v>
      </c>
      <c r="G47" s="340">
        <f t="shared" si="12"/>
        <v>0</v>
      </c>
      <c r="H47" s="340">
        <f t="shared" si="13"/>
        <v>0</v>
      </c>
    </row>
    <row r="48" spans="1:8" ht="14.45" hidden="1" x14ac:dyDescent="0.35">
      <c r="A48" s="312" t="str">
        <f t="shared" si="5"/>
        <v>Safflower</v>
      </c>
      <c r="B48" s="340">
        <f t="shared" si="6"/>
        <v>0</v>
      </c>
      <c r="C48" s="340">
        <f t="shared" si="8"/>
        <v>0</v>
      </c>
      <c r="D48" s="340">
        <f t="shared" si="9"/>
        <v>0</v>
      </c>
      <c r="E48" s="340">
        <f t="shared" si="10"/>
        <v>0</v>
      </c>
      <c r="F48" s="340">
        <f t="shared" si="11"/>
        <v>0</v>
      </c>
      <c r="G48" s="340">
        <f t="shared" si="12"/>
        <v>0</v>
      </c>
      <c r="H48" s="340">
        <f t="shared" si="13"/>
        <v>0</v>
      </c>
    </row>
    <row r="49" spans="1:8" ht="14.45" hidden="1" x14ac:dyDescent="0.35">
      <c r="A49" s="312">
        <f t="shared" si="5"/>
        <v>0</v>
      </c>
      <c r="B49" s="340">
        <f t="shared" si="6"/>
        <v>0</v>
      </c>
      <c r="C49" s="340">
        <f t="shared" si="8"/>
        <v>0</v>
      </c>
      <c r="D49" s="340">
        <f t="shared" si="9"/>
        <v>0</v>
      </c>
      <c r="E49" s="340">
        <f t="shared" si="10"/>
        <v>0</v>
      </c>
      <c r="F49" s="340">
        <f t="shared" si="11"/>
        <v>0</v>
      </c>
      <c r="G49" s="340">
        <f t="shared" si="12"/>
        <v>0</v>
      </c>
      <c r="H49" s="340">
        <f t="shared" si="13"/>
        <v>0</v>
      </c>
    </row>
    <row r="50" spans="1:8" ht="14.45" hidden="1" x14ac:dyDescent="0.35">
      <c r="A50" s="312">
        <f t="shared" si="5"/>
        <v>0</v>
      </c>
      <c r="B50" s="340">
        <f t="shared" si="6"/>
        <v>0</v>
      </c>
      <c r="C50" s="340">
        <f t="shared" si="8"/>
        <v>0</v>
      </c>
      <c r="D50" s="340">
        <f t="shared" si="9"/>
        <v>0</v>
      </c>
      <c r="E50" s="340">
        <f t="shared" si="10"/>
        <v>0</v>
      </c>
      <c r="F50" s="340">
        <f t="shared" si="11"/>
        <v>0</v>
      </c>
      <c r="G50" s="340">
        <f t="shared" si="12"/>
        <v>0</v>
      </c>
      <c r="H50" s="340">
        <f t="shared" si="13"/>
        <v>0</v>
      </c>
    </row>
    <row r="51" spans="1:8" ht="14.45" hidden="1" x14ac:dyDescent="0.35">
      <c r="A51" s="312">
        <f t="shared" si="5"/>
        <v>0</v>
      </c>
      <c r="B51" s="340">
        <f t="shared" si="6"/>
        <v>0</v>
      </c>
      <c r="C51" s="340">
        <f t="shared" si="8"/>
        <v>0</v>
      </c>
      <c r="D51" s="340">
        <f t="shared" si="9"/>
        <v>0</v>
      </c>
      <c r="E51" s="340">
        <f t="shared" si="10"/>
        <v>0</v>
      </c>
      <c r="F51" s="340">
        <f t="shared" si="11"/>
        <v>0</v>
      </c>
      <c r="G51" s="340">
        <f t="shared" si="12"/>
        <v>0</v>
      </c>
      <c r="H51" s="340">
        <f t="shared" si="13"/>
        <v>0</v>
      </c>
    </row>
    <row r="52" spans="1:8" ht="14.45" hidden="1" x14ac:dyDescent="0.35">
      <c r="A52" s="312" t="str">
        <f t="shared" si="5"/>
        <v>Groundnut</v>
      </c>
      <c r="B52" s="340">
        <f t="shared" si="6"/>
        <v>0</v>
      </c>
      <c r="C52" s="340">
        <f t="shared" si="8"/>
        <v>0</v>
      </c>
      <c r="D52" s="340">
        <f t="shared" si="9"/>
        <v>0</v>
      </c>
      <c r="E52" s="340">
        <f t="shared" si="10"/>
        <v>0</v>
      </c>
      <c r="F52" s="340">
        <f t="shared" si="11"/>
        <v>0</v>
      </c>
      <c r="G52" s="340">
        <f t="shared" si="12"/>
        <v>0</v>
      </c>
      <c r="H52" s="340">
        <f t="shared" si="13"/>
        <v>0</v>
      </c>
    </row>
    <row r="53" spans="1:8" ht="14.45" x14ac:dyDescent="0.35">
      <c r="A53" s="312" t="str">
        <f t="shared" si="5"/>
        <v>RAGI</v>
      </c>
      <c r="B53" s="340">
        <f t="shared" si="6"/>
        <v>385.14009600000009</v>
      </c>
      <c r="C53" s="340">
        <f t="shared" si="8"/>
        <v>410.81610240000009</v>
      </c>
      <c r="D53" s="340">
        <f t="shared" si="9"/>
        <v>436.49210880000015</v>
      </c>
      <c r="E53" s="340">
        <f t="shared" si="10"/>
        <v>462.16811520000016</v>
      </c>
      <c r="F53" s="340">
        <f t="shared" si="11"/>
        <v>487.84412160000016</v>
      </c>
      <c r="G53" s="340">
        <f t="shared" si="12"/>
        <v>513.52012800000023</v>
      </c>
      <c r="H53" s="340">
        <f t="shared" si="13"/>
        <v>539.19613440000023</v>
      </c>
    </row>
    <row r="54" spans="1:8" ht="14.45" x14ac:dyDescent="0.35">
      <c r="A54" s="312"/>
      <c r="B54" s="312"/>
      <c r="C54" s="312"/>
      <c r="D54" s="312"/>
      <c r="E54" s="312"/>
      <c r="F54" s="312"/>
      <c r="G54" s="312"/>
      <c r="H54" s="312"/>
    </row>
    <row r="55" spans="1:8" ht="14.45" x14ac:dyDescent="0.35">
      <c r="A55" s="347" t="s">
        <v>281</v>
      </c>
      <c r="B55" s="312"/>
      <c r="C55" s="312"/>
      <c r="D55" s="312"/>
      <c r="E55" s="312"/>
      <c r="F55" s="312"/>
      <c r="G55" s="312"/>
      <c r="H55" s="312"/>
    </row>
    <row r="56" spans="1:8" ht="14.45" hidden="1" x14ac:dyDescent="0.35">
      <c r="A56" s="312" t="str">
        <f>A35</f>
        <v>Soybean</v>
      </c>
      <c r="B56" s="312"/>
      <c r="C56" s="312"/>
      <c r="D56" s="312"/>
      <c r="E56" s="312"/>
      <c r="F56" s="312"/>
      <c r="G56" s="312"/>
      <c r="H56" s="312"/>
    </row>
    <row r="57" spans="1:8" ht="14.45" hidden="1" x14ac:dyDescent="0.35">
      <c r="A57" s="312"/>
      <c r="B57" s="312"/>
      <c r="C57" s="312"/>
      <c r="D57" s="312"/>
      <c r="E57" s="312"/>
      <c r="F57" s="312"/>
      <c r="G57" s="312"/>
      <c r="H57" s="312"/>
    </row>
    <row r="58" spans="1:8" ht="14.45" hidden="1" x14ac:dyDescent="0.35">
      <c r="A58" s="312"/>
      <c r="B58" s="312"/>
      <c r="C58" s="312"/>
      <c r="D58" s="312"/>
      <c r="E58" s="312"/>
      <c r="F58" s="312"/>
      <c r="G58" s="312"/>
      <c r="H58" s="312"/>
    </row>
    <row r="59" spans="1:8" ht="14.45" hidden="1" x14ac:dyDescent="0.35">
      <c r="A59" s="312"/>
      <c r="B59" s="312"/>
      <c r="C59" s="312"/>
      <c r="D59" s="312"/>
      <c r="E59" s="312"/>
      <c r="F59" s="312"/>
      <c r="G59" s="312"/>
      <c r="H59" s="312"/>
    </row>
    <row r="60" spans="1:8" ht="14.45" hidden="1" x14ac:dyDescent="0.35">
      <c r="A60" s="312" t="str">
        <f>A36</f>
        <v>Red Gram/Tur</v>
      </c>
      <c r="B60" s="390"/>
      <c r="C60" s="390"/>
      <c r="D60" s="390"/>
      <c r="E60" s="390"/>
      <c r="F60" s="390"/>
      <c r="G60" s="390"/>
      <c r="H60" s="390"/>
    </row>
    <row r="61" spans="1:8" ht="14.45" hidden="1" x14ac:dyDescent="0.35">
      <c r="A61" s="312" t="s">
        <v>450</v>
      </c>
      <c r="B61" s="390">
        <f>B36*80%</f>
        <v>0</v>
      </c>
      <c r="C61" s="390">
        <f t="shared" ref="C61:H61" si="14">C36*80%</f>
        <v>0</v>
      </c>
      <c r="D61" s="390">
        <f t="shared" si="14"/>
        <v>0</v>
      </c>
      <c r="E61" s="390">
        <f t="shared" si="14"/>
        <v>0</v>
      </c>
      <c r="F61" s="390">
        <f t="shared" si="14"/>
        <v>0</v>
      </c>
      <c r="G61" s="390">
        <f t="shared" si="14"/>
        <v>0</v>
      </c>
      <c r="H61" s="390">
        <f t="shared" si="14"/>
        <v>0</v>
      </c>
    </row>
    <row r="62" spans="1:8" ht="14.45" hidden="1" x14ac:dyDescent="0.35">
      <c r="A62" s="312" t="s">
        <v>137</v>
      </c>
      <c r="B62" s="390">
        <f>B36*20%</f>
        <v>0</v>
      </c>
      <c r="C62" s="390">
        <f t="shared" ref="C62:H62" si="15">C36*20%</f>
        <v>0</v>
      </c>
      <c r="D62" s="390">
        <f t="shared" si="15"/>
        <v>0</v>
      </c>
      <c r="E62" s="390">
        <f t="shared" si="15"/>
        <v>0</v>
      </c>
      <c r="F62" s="390">
        <f t="shared" si="15"/>
        <v>0</v>
      </c>
      <c r="G62" s="390">
        <f t="shared" si="15"/>
        <v>0</v>
      </c>
      <c r="H62" s="390">
        <f t="shared" si="15"/>
        <v>0</v>
      </c>
    </row>
    <row r="63" spans="1:8" ht="14.45" hidden="1" x14ac:dyDescent="0.35">
      <c r="A63" s="312" t="str">
        <f>A37</f>
        <v>Paddy/Rice</v>
      </c>
      <c r="B63" s="340"/>
      <c r="C63" s="340"/>
      <c r="D63" s="340"/>
      <c r="E63" s="340"/>
      <c r="F63" s="340"/>
      <c r="G63" s="340"/>
      <c r="H63" s="340"/>
    </row>
    <row r="64" spans="1:8" ht="14.45" hidden="1" x14ac:dyDescent="0.35">
      <c r="A64" s="312"/>
      <c r="B64" s="340"/>
      <c r="C64" s="340"/>
      <c r="D64" s="340"/>
      <c r="E64" s="340"/>
      <c r="F64" s="340"/>
      <c r="G64" s="340"/>
      <c r="H64" s="340"/>
    </row>
    <row r="65" spans="1:8" ht="14.45" hidden="1" x14ac:dyDescent="0.35">
      <c r="A65" s="312"/>
      <c r="B65" s="340"/>
      <c r="C65" s="340"/>
      <c r="D65" s="340"/>
      <c r="E65" s="340"/>
      <c r="F65" s="340"/>
      <c r="G65" s="340"/>
      <c r="H65" s="340"/>
    </row>
    <row r="66" spans="1:8" ht="14.45" hidden="1" x14ac:dyDescent="0.35">
      <c r="A66" s="312"/>
      <c r="B66" s="340"/>
      <c r="C66" s="340"/>
      <c r="D66" s="340"/>
      <c r="E66" s="340"/>
      <c r="F66" s="340"/>
      <c r="G66" s="340"/>
      <c r="H66" s="340"/>
    </row>
    <row r="67" spans="1:8" ht="14.45" hidden="1" x14ac:dyDescent="0.35">
      <c r="A67" s="312" t="str">
        <f>A38</f>
        <v>Masoor/ Moong</v>
      </c>
      <c r="B67" s="340"/>
      <c r="C67" s="340"/>
      <c r="D67" s="340"/>
      <c r="E67" s="340"/>
      <c r="F67" s="340"/>
      <c r="G67" s="340"/>
      <c r="H67" s="340"/>
    </row>
    <row r="68" spans="1:8" ht="14.45" hidden="1" x14ac:dyDescent="0.35">
      <c r="A68" s="312" t="s">
        <v>450</v>
      </c>
      <c r="B68" s="340">
        <f>B38*80%</f>
        <v>0</v>
      </c>
      <c r="C68" s="340">
        <f t="shared" ref="C68:H68" si="16">C38*80%</f>
        <v>0</v>
      </c>
      <c r="D68" s="340">
        <f t="shared" si="16"/>
        <v>0</v>
      </c>
      <c r="E68" s="340">
        <f t="shared" si="16"/>
        <v>0</v>
      </c>
      <c r="F68" s="340">
        <f t="shared" si="16"/>
        <v>0</v>
      </c>
      <c r="G68" s="340">
        <f t="shared" si="16"/>
        <v>0</v>
      </c>
      <c r="H68" s="340">
        <f t="shared" si="16"/>
        <v>0</v>
      </c>
    </row>
    <row r="69" spans="1:8" ht="14.45" hidden="1" x14ac:dyDescent="0.35">
      <c r="A69" s="312" t="s">
        <v>137</v>
      </c>
      <c r="B69" s="340">
        <f>B38*20%</f>
        <v>0</v>
      </c>
      <c r="C69" s="340">
        <f t="shared" ref="C69:H69" si="17">C38*20%</f>
        <v>0</v>
      </c>
      <c r="D69" s="340">
        <f t="shared" si="17"/>
        <v>0</v>
      </c>
      <c r="E69" s="340">
        <f t="shared" si="17"/>
        <v>0</v>
      </c>
      <c r="F69" s="340">
        <f t="shared" si="17"/>
        <v>0</v>
      </c>
      <c r="G69" s="340">
        <f t="shared" si="17"/>
        <v>0</v>
      </c>
      <c r="H69" s="340">
        <f t="shared" si="17"/>
        <v>0</v>
      </c>
    </row>
    <row r="70" spans="1:8" ht="14.45" hidden="1" x14ac:dyDescent="0.35">
      <c r="A70" s="312" t="str">
        <f>A39</f>
        <v>Sweet Potato</v>
      </c>
      <c r="B70" s="340"/>
      <c r="C70" s="340"/>
      <c r="D70" s="340"/>
      <c r="E70" s="340"/>
      <c r="F70" s="340"/>
      <c r="G70" s="340"/>
      <c r="H70" s="340"/>
    </row>
    <row r="71" spans="1:8" ht="14.45" hidden="1" x14ac:dyDescent="0.35">
      <c r="A71" s="312"/>
      <c r="B71" s="340"/>
      <c r="C71" s="340"/>
      <c r="D71" s="340"/>
      <c r="E71" s="340"/>
      <c r="F71" s="340"/>
      <c r="G71" s="340"/>
      <c r="H71" s="340"/>
    </row>
    <row r="72" spans="1:8" ht="14.45" hidden="1" x14ac:dyDescent="0.35">
      <c r="A72" s="312"/>
      <c r="B72" s="340"/>
      <c r="C72" s="340"/>
      <c r="D72" s="340"/>
      <c r="E72" s="340"/>
      <c r="F72" s="340"/>
      <c r="G72" s="340"/>
      <c r="H72" s="340"/>
    </row>
    <row r="73" spans="1:8" ht="14.45" hidden="1" x14ac:dyDescent="0.35">
      <c r="A73" s="312"/>
      <c r="B73" s="340"/>
      <c r="C73" s="340"/>
      <c r="D73" s="340"/>
      <c r="E73" s="340"/>
      <c r="F73" s="340"/>
      <c r="G73" s="340"/>
      <c r="H73" s="340"/>
    </row>
    <row r="74" spans="1:8" ht="14.45" hidden="1" x14ac:dyDescent="0.35">
      <c r="A74" s="312"/>
      <c r="B74" s="340"/>
      <c r="C74" s="340"/>
      <c r="D74" s="340"/>
      <c r="E74" s="340"/>
      <c r="F74" s="340"/>
      <c r="G74" s="340"/>
      <c r="H74" s="340"/>
    </row>
    <row r="75" spans="1:8" ht="14.45" hidden="1" x14ac:dyDescent="0.35">
      <c r="A75" s="312" t="str">
        <f>A40</f>
        <v>Black Gram/Udid</v>
      </c>
      <c r="B75" s="340"/>
      <c r="C75" s="340"/>
      <c r="D75" s="340"/>
      <c r="E75" s="340"/>
      <c r="F75" s="340"/>
      <c r="G75" s="340"/>
      <c r="H75" s="340"/>
    </row>
    <row r="76" spans="1:8" ht="14.45" hidden="1" x14ac:dyDescent="0.35">
      <c r="A76" s="312" t="s">
        <v>450</v>
      </c>
      <c r="B76" s="340">
        <f t="shared" ref="B76:H76" si="18">B40*80%</f>
        <v>0</v>
      </c>
      <c r="C76" s="340">
        <f t="shared" si="18"/>
        <v>0</v>
      </c>
      <c r="D76" s="340">
        <f t="shared" si="18"/>
        <v>0</v>
      </c>
      <c r="E76" s="340">
        <f t="shared" si="18"/>
        <v>0</v>
      </c>
      <c r="F76" s="340">
        <f t="shared" si="18"/>
        <v>0</v>
      </c>
      <c r="G76" s="340">
        <f t="shared" si="18"/>
        <v>0</v>
      </c>
      <c r="H76" s="340">
        <f t="shared" si="18"/>
        <v>0</v>
      </c>
    </row>
    <row r="77" spans="1:8" ht="14.45" hidden="1" x14ac:dyDescent="0.35">
      <c r="A77" s="312" t="s">
        <v>137</v>
      </c>
      <c r="B77" s="340">
        <f t="shared" ref="B77:H77" si="19">B40*20%</f>
        <v>0</v>
      </c>
      <c r="C77" s="340">
        <f t="shared" si="19"/>
        <v>0</v>
      </c>
      <c r="D77" s="340">
        <f t="shared" si="19"/>
        <v>0</v>
      </c>
      <c r="E77" s="340">
        <f t="shared" si="19"/>
        <v>0</v>
      </c>
      <c r="F77" s="340">
        <f t="shared" si="19"/>
        <v>0</v>
      </c>
      <c r="G77" s="340">
        <f t="shared" si="19"/>
        <v>0</v>
      </c>
      <c r="H77" s="340">
        <f t="shared" si="19"/>
        <v>0</v>
      </c>
    </row>
    <row r="78" spans="1:8" ht="14.45" hidden="1" x14ac:dyDescent="0.35">
      <c r="A78" s="312" t="str">
        <f>A41</f>
        <v>RAGI</v>
      </c>
      <c r="B78" s="340"/>
      <c r="C78" s="340"/>
      <c r="D78" s="340"/>
      <c r="E78" s="340"/>
      <c r="F78" s="340"/>
      <c r="G78" s="340"/>
      <c r="H78" s="340"/>
    </row>
    <row r="79" spans="1:8" ht="14.45" hidden="1" x14ac:dyDescent="0.35">
      <c r="A79" s="312"/>
      <c r="B79" s="340"/>
      <c r="C79" s="340"/>
      <c r="D79" s="340"/>
      <c r="E79" s="340"/>
      <c r="F79" s="340"/>
      <c r="G79" s="340"/>
      <c r="H79" s="340"/>
    </row>
    <row r="80" spans="1:8" ht="14.45" hidden="1" x14ac:dyDescent="0.35">
      <c r="A80" s="312"/>
      <c r="B80" s="340"/>
      <c r="C80" s="340"/>
      <c r="D80" s="340"/>
      <c r="E80" s="340"/>
      <c r="F80" s="340"/>
      <c r="G80" s="340"/>
      <c r="H80" s="340"/>
    </row>
    <row r="81" spans="1:8" ht="14.45" hidden="1" x14ac:dyDescent="0.35">
      <c r="A81" s="312" t="str">
        <f>A42</f>
        <v>Jawar</v>
      </c>
      <c r="B81" s="340"/>
      <c r="C81" s="340"/>
      <c r="D81" s="340"/>
      <c r="E81" s="340"/>
      <c r="F81" s="340"/>
      <c r="G81" s="340"/>
      <c r="H81" s="340"/>
    </row>
    <row r="82" spans="1:8" ht="14.45" hidden="1" x14ac:dyDescent="0.35">
      <c r="A82" s="312"/>
      <c r="B82" s="340"/>
      <c r="C82" s="340"/>
      <c r="D82" s="340"/>
      <c r="E82" s="340"/>
      <c r="F82" s="340"/>
      <c r="G82" s="340"/>
      <c r="H82" s="340"/>
    </row>
    <row r="83" spans="1:8" ht="14.45" hidden="1" x14ac:dyDescent="0.35">
      <c r="A83" s="312"/>
      <c r="B83" s="340"/>
      <c r="C83" s="340"/>
      <c r="D83" s="340"/>
      <c r="E83" s="340"/>
      <c r="F83" s="340"/>
      <c r="G83" s="340"/>
      <c r="H83" s="340"/>
    </row>
    <row r="84" spans="1:8" ht="14.45" hidden="1" x14ac:dyDescent="0.35">
      <c r="A84" s="312"/>
      <c r="B84" s="340"/>
      <c r="C84" s="340"/>
      <c r="D84" s="340"/>
      <c r="E84" s="340"/>
      <c r="F84" s="340"/>
      <c r="G84" s="340"/>
      <c r="H84" s="340"/>
    </row>
    <row r="85" spans="1:8" ht="14.45" hidden="1" x14ac:dyDescent="0.35">
      <c r="A85" s="312" t="str">
        <f>A43</f>
        <v>Sunflower</v>
      </c>
      <c r="B85" s="340"/>
      <c r="C85" s="340"/>
      <c r="D85" s="340"/>
      <c r="E85" s="340"/>
      <c r="F85" s="340"/>
      <c r="G85" s="340"/>
      <c r="H85" s="340"/>
    </row>
    <row r="86" spans="1:8" ht="14.45" hidden="1" x14ac:dyDescent="0.35">
      <c r="A86" s="312"/>
      <c r="B86" s="340"/>
      <c r="C86" s="340"/>
      <c r="D86" s="340"/>
      <c r="E86" s="340"/>
      <c r="F86" s="340"/>
      <c r="G86" s="340"/>
      <c r="H86" s="340"/>
    </row>
    <row r="87" spans="1:8" ht="14.45" hidden="1" x14ac:dyDescent="0.35">
      <c r="A87" s="312"/>
      <c r="B87" s="340"/>
      <c r="C87" s="340"/>
      <c r="D87" s="340"/>
      <c r="E87" s="340"/>
      <c r="F87" s="340"/>
      <c r="G87" s="340"/>
      <c r="H87" s="340"/>
    </row>
    <row r="88" spans="1:8" ht="14.45" hidden="1" x14ac:dyDescent="0.35">
      <c r="A88" s="312"/>
      <c r="B88" s="340"/>
      <c r="C88" s="340"/>
      <c r="D88" s="340"/>
      <c r="E88" s="340"/>
      <c r="F88" s="340"/>
      <c r="G88" s="340"/>
      <c r="H88" s="340"/>
    </row>
    <row r="89" spans="1:8" ht="14.45" hidden="1" x14ac:dyDescent="0.35">
      <c r="A89" s="312" t="str">
        <f>A44</f>
        <v>Wheat</v>
      </c>
      <c r="B89" s="340"/>
      <c r="C89" s="340"/>
      <c r="D89" s="340"/>
      <c r="E89" s="340"/>
      <c r="F89" s="340"/>
      <c r="G89" s="340"/>
      <c r="H89" s="340"/>
    </row>
    <row r="90" spans="1:8" ht="14.45" hidden="1" x14ac:dyDescent="0.35">
      <c r="A90" s="312"/>
      <c r="B90" s="340"/>
      <c r="C90" s="340"/>
      <c r="D90" s="340"/>
      <c r="E90" s="340"/>
      <c r="F90" s="340"/>
      <c r="G90" s="340"/>
      <c r="H90" s="340"/>
    </row>
    <row r="91" spans="1:8" ht="14.45" hidden="1" x14ac:dyDescent="0.35">
      <c r="A91" s="312"/>
      <c r="B91" s="340"/>
      <c r="C91" s="340"/>
      <c r="D91" s="340"/>
      <c r="E91" s="340"/>
      <c r="F91" s="340"/>
      <c r="G91" s="340"/>
      <c r="H91" s="340"/>
    </row>
    <row r="92" spans="1:8" ht="14.45" hidden="1" x14ac:dyDescent="0.35">
      <c r="A92" s="312" t="str">
        <f>A45</f>
        <v>Bengal Gram/Channa</v>
      </c>
      <c r="B92" s="340"/>
      <c r="C92" s="340"/>
      <c r="D92" s="340"/>
      <c r="E92" s="340"/>
      <c r="F92" s="340"/>
      <c r="G92" s="340"/>
      <c r="H92" s="340"/>
    </row>
    <row r="93" spans="1:8" ht="14.45" hidden="1" x14ac:dyDescent="0.35">
      <c r="A93" s="312" t="s">
        <v>450</v>
      </c>
      <c r="B93" s="340">
        <f t="shared" ref="B93:H93" si="20">B45*80%</f>
        <v>0</v>
      </c>
      <c r="C93" s="340">
        <f t="shared" si="20"/>
        <v>0</v>
      </c>
      <c r="D93" s="340">
        <f t="shared" si="20"/>
        <v>0</v>
      </c>
      <c r="E93" s="340">
        <f t="shared" si="20"/>
        <v>0</v>
      </c>
      <c r="F93" s="340">
        <f t="shared" si="20"/>
        <v>0</v>
      </c>
      <c r="G93" s="340">
        <f t="shared" si="20"/>
        <v>0</v>
      </c>
      <c r="H93" s="340">
        <f t="shared" si="20"/>
        <v>0</v>
      </c>
    </row>
    <row r="94" spans="1:8" ht="14.45" hidden="1" x14ac:dyDescent="0.35">
      <c r="A94" s="312" t="s">
        <v>137</v>
      </c>
      <c r="B94" s="340">
        <f t="shared" ref="B94:H94" si="21">B45*20%</f>
        <v>0</v>
      </c>
      <c r="C94" s="340">
        <f t="shared" si="21"/>
        <v>0</v>
      </c>
      <c r="D94" s="340">
        <f t="shared" si="21"/>
        <v>0</v>
      </c>
      <c r="E94" s="340">
        <f t="shared" si="21"/>
        <v>0</v>
      </c>
      <c r="F94" s="340">
        <f t="shared" si="21"/>
        <v>0</v>
      </c>
      <c r="G94" s="340">
        <f t="shared" si="21"/>
        <v>0</v>
      </c>
      <c r="H94" s="340">
        <f t="shared" si="21"/>
        <v>0</v>
      </c>
    </row>
    <row r="95" spans="1:8" ht="14.45" hidden="1" x14ac:dyDescent="0.35">
      <c r="A95" s="312" t="str">
        <f>A46</f>
        <v>Jawar</v>
      </c>
      <c r="B95" s="340"/>
      <c r="C95" s="340"/>
      <c r="D95" s="340"/>
      <c r="E95" s="340"/>
      <c r="F95" s="340"/>
      <c r="G95" s="340"/>
      <c r="H95" s="340"/>
    </row>
    <row r="96" spans="1:8" ht="14.45" hidden="1" x14ac:dyDescent="0.35">
      <c r="A96" s="312"/>
      <c r="B96" s="340"/>
      <c r="C96" s="340"/>
      <c r="D96" s="340"/>
      <c r="E96" s="340"/>
      <c r="F96" s="340"/>
      <c r="G96" s="340"/>
      <c r="H96" s="340"/>
    </row>
    <row r="97" spans="1:8" ht="14.45" hidden="1" x14ac:dyDescent="0.35">
      <c r="A97" s="312"/>
      <c r="B97" s="340"/>
      <c r="C97" s="340"/>
      <c r="D97" s="340"/>
      <c r="E97" s="340"/>
      <c r="F97" s="340"/>
      <c r="G97" s="340"/>
      <c r="H97" s="340"/>
    </row>
    <row r="98" spans="1:8" ht="14.45" hidden="1" x14ac:dyDescent="0.35">
      <c r="A98" s="312" t="str">
        <f>A47</f>
        <v>Sweet Potato</v>
      </c>
      <c r="B98" s="340"/>
      <c r="C98" s="340"/>
      <c r="D98" s="340"/>
      <c r="E98" s="340"/>
      <c r="F98" s="340"/>
      <c r="G98" s="340"/>
      <c r="H98" s="340"/>
    </row>
    <row r="99" spans="1:8" ht="14.45" hidden="1" x14ac:dyDescent="0.35">
      <c r="A99" s="312"/>
      <c r="B99" s="340"/>
      <c r="C99" s="340"/>
      <c r="D99" s="340"/>
      <c r="E99" s="340"/>
      <c r="F99" s="340"/>
      <c r="G99" s="340"/>
      <c r="H99" s="340"/>
    </row>
    <row r="100" spans="1:8" ht="14.45" hidden="1" x14ac:dyDescent="0.35">
      <c r="A100" s="312"/>
      <c r="B100" s="340"/>
      <c r="C100" s="340"/>
      <c r="D100" s="340"/>
      <c r="E100" s="340"/>
      <c r="F100" s="340"/>
      <c r="G100" s="340"/>
      <c r="H100" s="340"/>
    </row>
    <row r="101" spans="1:8" ht="14.45" hidden="1" x14ac:dyDescent="0.35">
      <c r="A101" s="312" t="str">
        <f>A48</f>
        <v>Safflower</v>
      </c>
      <c r="B101" s="340"/>
      <c r="C101" s="340"/>
      <c r="D101" s="340"/>
      <c r="E101" s="340"/>
      <c r="F101" s="340"/>
      <c r="G101" s="340"/>
      <c r="H101" s="340"/>
    </row>
    <row r="102" spans="1:8" ht="14.45" hidden="1" x14ac:dyDescent="0.35">
      <c r="A102" s="312"/>
      <c r="B102" s="340"/>
      <c r="C102" s="340"/>
      <c r="D102" s="340"/>
      <c r="E102" s="340"/>
      <c r="F102" s="340"/>
      <c r="G102" s="340"/>
      <c r="H102" s="340"/>
    </row>
    <row r="103" spans="1:8" ht="14.45" hidden="1" x14ac:dyDescent="0.35">
      <c r="A103" s="312"/>
      <c r="B103" s="340"/>
      <c r="C103" s="340"/>
      <c r="D103" s="340"/>
      <c r="E103" s="340"/>
      <c r="F103" s="340"/>
      <c r="G103" s="340"/>
      <c r="H103" s="340"/>
    </row>
    <row r="104" spans="1:8" ht="14.45" hidden="1" x14ac:dyDescent="0.35">
      <c r="A104" s="312">
        <f>A49</f>
        <v>0</v>
      </c>
      <c r="B104" s="340"/>
      <c r="C104" s="340"/>
      <c r="D104" s="340"/>
      <c r="E104" s="340"/>
      <c r="F104" s="340"/>
      <c r="G104" s="340"/>
      <c r="H104" s="340"/>
    </row>
    <row r="105" spans="1:8" ht="14.45" hidden="1" x14ac:dyDescent="0.35">
      <c r="A105" s="312"/>
      <c r="B105" s="340"/>
      <c r="C105" s="340"/>
      <c r="D105" s="340"/>
      <c r="E105" s="340"/>
      <c r="F105" s="340"/>
      <c r="G105" s="340"/>
      <c r="H105" s="340"/>
    </row>
    <row r="106" spans="1:8" ht="14.45" hidden="1" x14ac:dyDescent="0.35">
      <c r="A106" s="312"/>
      <c r="B106" s="340"/>
      <c r="C106" s="340"/>
      <c r="D106" s="340"/>
      <c r="E106" s="340"/>
      <c r="F106" s="340"/>
      <c r="G106" s="340"/>
      <c r="H106" s="340"/>
    </row>
    <row r="107" spans="1:8" ht="14.45" hidden="1" x14ac:dyDescent="0.35">
      <c r="A107" s="312">
        <f>A50</f>
        <v>0</v>
      </c>
      <c r="B107" s="340"/>
      <c r="C107" s="340"/>
      <c r="D107" s="340"/>
      <c r="E107" s="340"/>
      <c r="F107" s="340"/>
      <c r="G107" s="340"/>
      <c r="H107" s="340"/>
    </row>
    <row r="108" spans="1:8" ht="14.45" hidden="1" x14ac:dyDescent="0.35">
      <c r="A108" s="312"/>
      <c r="B108" s="340"/>
      <c r="C108" s="340"/>
      <c r="D108" s="340"/>
      <c r="E108" s="340"/>
      <c r="F108" s="340"/>
      <c r="G108" s="340"/>
      <c r="H108" s="340"/>
    </row>
    <row r="109" spans="1:8" ht="14.45" x14ac:dyDescent="0.35">
      <c r="A109" s="312"/>
      <c r="B109" s="340"/>
      <c r="C109" s="340"/>
      <c r="D109" s="340"/>
      <c r="E109" s="340"/>
      <c r="F109" s="340"/>
      <c r="G109" s="340"/>
      <c r="H109" s="340"/>
    </row>
    <row r="110" spans="1:8" ht="14.45" x14ac:dyDescent="0.35">
      <c r="A110" s="312" t="s">
        <v>1312</v>
      </c>
      <c r="B110" s="340">
        <f>B53*0</f>
        <v>0</v>
      </c>
      <c r="C110" s="340">
        <f t="shared" ref="C110:H110" si="22">C53*0</f>
        <v>0</v>
      </c>
      <c r="D110" s="340">
        <f t="shared" si="22"/>
        <v>0</v>
      </c>
      <c r="E110" s="340">
        <f t="shared" si="22"/>
        <v>0</v>
      </c>
      <c r="F110" s="340">
        <f t="shared" si="22"/>
        <v>0</v>
      </c>
      <c r="G110" s="340">
        <f t="shared" si="22"/>
        <v>0</v>
      </c>
      <c r="H110" s="340">
        <f t="shared" si="22"/>
        <v>0</v>
      </c>
    </row>
    <row r="111" spans="1:8" ht="14.45" x14ac:dyDescent="0.35">
      <c r="A111" s="312"/>
      <c r="B111" s="340"/>
      <c r="C111" s="340"/>
      <c r="D111" s="340"/>
      <c r="E111" s="340"/>
      <c r="F111" s="340"/>
      <c r="G111" s="340"/>
      <c r="H111" s="340"/>
    </row>
    <row r="112" spans="1:8" ht="14.45" x14ac:dyDescent="0.35">
      <c r="A112" s="312" t="s">
        <v>1308</v>
      </c>
      <c r="B112" s="340"/>
      <c r="C112" s="340"/>
      <c r="D112" s="340"/>
      <c r="E112" s="340"/>
      <c r="F112" s="340"/>
      <c r="G112" s="340"/>
      <c r="H112" s="340"/>
    </row>
    <row r="113" spans="1:8" ht="14.45" x14ac:dyDescent="0.35">
      <c r="A113" s="312" t="s">
        <v>1063</v>
      </c>
      <c r="B113" s="340">
        <f>B53*100%</f>
        <v>385.14009600000009</v>
      </c>
      <c r="C113" s="340">
        <f t="shared" ref="C113:H113" si="23">C53*100%</f>
        <v>410.81610240000009</v>
      </c>
      <c r="D113" s="340">
        <f t="shared" si="23"/>
        <v>436.49210880000015</v>
      </c>
      <c r="E113" s="340">
        <f t="shared" si="23"/>
        <v>462.16811520000016</v>
      </c>
      <c r="F113" s="340">
        <f t="shared" si="23"/>
        <v>487.84412160000016</v>
      </c>
      <c r="G113" s="340">
        <f t="shared" si="23"/>
        <v>513.52012800000023</v>
      </c>
      <c r="H113" s="340">
        <f t="shared" si="23"/>
        <v>539.19613440000023</v>
      </c>
    </row>
    <row r="114" spans="1:8" ht="14.45" x14ac:dyDescent="0.35">
      <c r="A114" s="312" t="s">
        <v>1299</v>
      </c>
      <c r="B114" s="340">
        <f>B113*5%</f>
        <v>19.257004800000004</v>
      </c>
      <c r="C114" s="340">
        <f t="shared" ref="C114:H114" si="24">C113*5%</f>
        <v>20.540805120000005</v>
      </c>
      <c r="D114" s="340">
        <f t="shared" si="24"/>
        <v>21.82460544000001</v>
      </c>
      <c r="E114" s="340">
        <f t="shared" si="24"/>
        <v>23.108405760000011</v>
      </c>
      <c r="F114" s="340">
        <f t="shared" si="24"/>
        <v>24.392206080000008</v>
      </c>
      <c r="G114" s="340">
        <f t="shared" si="24"/>
        <v>25.676006400000013</v>
      </c>
      <c r="H114" s="340">
        <f t="shared" si="24"/>
        <v>26.959806720000014</v>
      </c>
    </row>
    <row r="115" spans="1:8" ht="14.45" x14ac:dyDescent="0.35">
      <c r="A115" s="312" t="s">
        <v>1313</v>
      </c>
      <c r="B115" s="340">
        <f>SUM(B113:B114)*100%</f>
        <v>404.39710080000009</v>
      </c>
      <c r="C115" s="340">
        <f t="shared" ref="C115:H115" si="25">SUM(C113:C114)*95%</f>
        <v>409.78906214400007</v>
      </c>
      <c r="D115" s="340">
        <f t="shared" si="25"/>
        <v>435.40087852800013</v>
      </c>
      <c r="E115" s="340">
        <f t="shared" si="25"/>
        <v>461.01269491200014</v>
      </c>
      <c r="F115" s="340">
        <f t="shared" si="25"/>
        <v>486.62451129600015</v>
      </c>
      <c r="G115" s="340">
        <f t="shared" si="25"/>
        <v>512.23632768000016</v>
      </c>
      <c r="H115" s="340">
        <f t="shared" si="25"/>
        <v>537.84814406400017</v>
      </c>
    </row>
    <row r="116" spans="1:8" ht="14.45" x14ac:dyDescent="0.35">
      <c r="A116" s="312" t="s">
        <v>1300</v>
      </c>
      <c r="B116" s="340">
        <f>B115*100</f>
        <v>40439.710080000012</v>
      </c>
      <c r="C116" s="340">
        <f t="shared" ref="C116:H116" si="26">C115*100</f>
        <v>40978.906214400005</v>
      </c>
      <c r="D116" s="340">
        <f t="shared" si="26"/>
        <v>43540.08785280001</v>
      </c>
      <c r="E116" s="340">
        <f t="shared" si="26"/>
        <v>46101.269491200015</v>
      </c>
      <c r="F116" s="340">
        <f t="shared" si="26"/>
        <v>48662.451129600013</v>
      </c>
      <c r="G116" s="340">
        <f t="shared" si="26"/>
        <v>51223.632768000018</v>
      </c>
      <c r="H116" s="340">
        <f t="shared" si="26"/>
        <v>53784.814406400015</v>
      </c>
    </row>
    <row r="117" spans="1:8" ht="14.45" x14ac:dyDescent="0.35">
      <c r="A117" s="335"/>
      <c r="B117" s="391"/>
      <c r="C117" s="391"/>
      <c r="D117" s="391"/>
      <c r="E117" s="391"/>
      <c r="F117" s="391"/>
      <c r="G117" s="391"/>
      <c r="H117" s="391"/>
    </row>
    <row r="118" spans="1:8" ht="14.45" x14ac:dyDescent="0.35">
      <c r="A118" s="335"/>
      <c r="B118" s="391"/>
      <c r="C118" s="391"/>
      <c r="D118" s="391"/>
      <c r="E118" s="391"/>
      <c r="F118" s="391"/>
      <c r="G118" s="391"/>
      <c r="H118" s="391"/>
    </row>
    <row r="119" spans="1:8" ht="14.45" x14ac:dyDescent="0.35">
      <c r="A119" s="362" t="s">
        <v>437</v>
      </c>
      <c r="B119" s="192">
        <v>1</v>
      </c>
    </row>
    <row r="120" spans="1:8" ht="14.45" hidden="1" x14ac:dyDescent="0.35">
      <c r="A120" s="362"/>
    </row>
    <row r="121" spans="1:8" ht="14.45" hidden="1" x14ac:dyDescent="0.35">
      <c r="A121" s="362"/>
    </row>
    <row r="122" spans="1:8" ht="14.45" hidden="1" x14ac:dyDescent="0.35">
      <c r="A122" s="362"/>
    </row>
    <row r="123" spans="1:8" ht="14.45" hidden="1" x14ac:dyDescent="0.35">
      <c r="A123" s="362"/>
    </row>
    <row r="124" spans="1:8" ht="14.45" hidden="1" x14ac:dyDescent="0.35">
      <c r="A124" s="362"/>
    </row>
    <row r="125" spans="1:8" ht="14.45" hidden="1" x14ac:dyDescent="0.35">
      <c r="A125" s="362"/>
    </row>
    <row r="126" spans="1:8" ht="14.45" hidden="1" x14ac:dyDescent="0.35">
      <c r="A126" s="362"/>
    </row>
    <row r="127" spans="1:8" ht="14.45" hidden="1" x14ac:dyDescent="0.35">
      <c r="A127" s="362"/>
    </row>
    <row r="128" spans="1:8" ht="14.45" hidden="1" x14ac:dyDescent="0.35">
      <c r="A128" s="362"/>
    </row>
    <row r="129" spans="1:1" ht="14.45" hidden="1" x14ac:dyDescent="0.35">
      <c r="A129" s="362"/>
    </row>
    <row r="130" spans="1:1" ht="14.45" hidden="1" x14ac:dyDescent="0.35">
      <c r="A130" s="362"/>
    </row>
    <row r="131" spans="1:1" ht="14.45" hidden="1" x14ac:dyDescent="0.35">
      <c r="A131" s="362"/>
    </row>
    <row r="132" spans="1:1" ht="14.45" hidden="1" x14ac:dyDescent="0.35">
      <c r="A132" s="362"/>
    </row>
    <row r="133" spans="1:1" ht="14.45" hidden="1" x14ac:dyDescent="0.35">
      <c r="A133" s="362"/>
    </row>
    <row r="134" spans="1:1" ht="14.45" hidden="1" x14ac:dyDescent="0.35">
      <c r="A134" s="362"/>
    </row>
    <row r="135" spans="1:1" ht="14.45" hidden="1" x14ac:dyDescent="0.35">
      <c r="A135" s="362"/>
    </row>
    <row r="136" spans="1:1" ht="14.45" hidden="1" x14ac:dyDescent="0.35">
      <c r="A136" s="362"/>
    </row>
    <row r="137" spans="1:1" ht="14.45" hidden="1" x14ac:dyDescent="0.35">
      <c r="A137" s="362"/>
    </row>
    <row r="138" spans="1:1" ht="14.45" hidden="1" x14ac:dyDescent="0.35">
      <c r="A138" s="362"/>
    </row>
    <row r="139" spans="1:1" ht="14.45" hidden="1" x14ac:dyDescent="0.35">
      <c r="A139" s="362"/>
    </row>
    <row r="140" spans="1:1" ht="14.45" hidden="1" x14ac:dyDescent="0.35">
      <c r="A140" s="362"/>
    </row>
    <row r="141" spans="1:1" ht="14.45" hidden="1" x14ac:dyDescent="0.35">
      <c r="A141" s="362"/>
    </row>
    <row r="142" spans="1:1" ht="14.45" hidden="1" x14ac:dyDescent="0.35">
      <c r="A142" s="362"/>
    </row>
    <row r="143" spans="1:1" ht="14.45" hidden="1" x14ac:dyDescent="0.35">
      <c r="A143" s="362"/>
    </row>
    <row r="144" spans="1:1" ht="14.45" hidden="1" x14ac:dyDescent="0.35">
      <c r="A144" s="362"/>
    </row>
    <row r="145" spans="1:1" ht="14.45" hidden="1" x14ac:dyDescent="0.35">
      <c r="A145" s="362"/>
    </row>
    <row r="146" spans="1:1" ht="14.45" hidden="1" x14ac:dyDescent="0.35">
      <c r="A146" s="362"/>
    </row>
    <row r="147" spans="1:1" ht="14.45" hidden="1" x14ac:dyDescent="0.35">
      <c r="A147" s="362"/>
    </row>
    <row r="148" spans="1:1" ht="14.45" hidden="1" x14ac:dyDescent="0.35">
      <c r="A148" s="362"/>
    </row>
    <row r="149" spans="1:1" ht="14.45" hidden="1" x14ac:dyDescent="0.35">
      <c r="A149" s="362"/>
    </row>
    <row r="150" spans="1:1" ht="14.45" hidden="1" x14ac:dyDescent="0.35">
      <c r="A150" s="362"/>
    </row>
    <row r="151" spans="1:1" ht="14.45" hidden="1" x14ac:dyDescent="0.35">
      <c r="A151" s="362"/>
    </row>
    <row r="152" spans="1:1" ht="14.45" hidden="1" x14ac:dyDescent="0.35">
      <c r="A152" s="362"/>
    </row>
    <row r="153" spans="1:1" ht="14.45" hidden="1" x14ac:dyDescent="0.35">
      <c r="A153" s="362"/>
    </row>
    <row r="154" spans="1:1" ht="14.45" hidden="1" x14ac:dyDescent="0.35">
      <c r="A154" s="362"/>
    </row>
    <row r="155" spans="1:1" ht="14.45" hidden="1" x14ac:dyDescent="0.35">
      <c r="A155" s="362"/>
    </row>
    <row r="156" spans="1:1" ht="14.45" hidden="1" x14ac:dyDescent="0.35">
      <c r="A156" s="362"/>
    </row>
    <row r="157" spans="1:1" ht="14.45" hidden="1" x14ac:dyDescent="0.35">
      <c r="A157" s="362"/>
    </row>
    <row r="158" spans="1:1" ht="14.45" hidden="1" x14ac:dyDescent="0.35">
      <c r="A158" s="362"/>
    </row>
    <row r="159" spans="1:1" ht="14.45" hidden="1" x14ac:dyDescent="0.35">
      <c r="A159" s="362"/>
    </row>
    <row r="160" spans="1:1" ht="14.45" hidden="1" x14ac:dyDescent="0.35">
      <c r="A160" s="362"/>
    </row>
    <row r="161" spans="1:10" ht="14.45" hidden="1" x14ac:dyDescent="0.35">
      <c r="A161" s="362"/>
    </row>
    <row r="162" spans="1:10" ht="14.45" hidden="1" x14ac:dyDescent="0.35">
      <c r="A162" s="362"/>
    </row>
    <row r="164" spans="1:10" ht="14.45" x14ac:dyDescent="0.35">
      <c r="A164" s="565" t="s">
        <v>695</v>
      </c>
      <c r="B164" s="565"/>
      <c r="C164" s="565"/>
      <c r="D164" s="565"/>
      <c r="E164" s="565"/>
      <c r="F164" s="565"/>
      <c r="G164" s="565"/>
      <c r="H164" s="565"/>
      <c r="I164" s="565"/>
      <c r="J164" s="565"/>
    </row>
    <row r="165" spans="1:10" ht="14.45" x14ac:dyDescent="0.35">
      <c r="A165" s="380"/>
      <c r="B165" s="380"/>
      <c r="C165" s="380"/>
      <c r="D165" s="380"/>
      <c r="E165" s="380"/>
      <c r="F165" s="380"/>
      <c r="G165" s="380"/>
      <c r="H165" s="380"/>
    </row>
    <row r="166" spans="1:10" ht="14.45" x14ac:dyDescent="0.35">
      <c r="A166" s="380"/>
      <c r="B166" s="380"/>
      <c r="C166" s="380"/>
      <c r="D166" s="392">
        <v>1</v>
      </c>
      <c r="E166" s="393">
        <f>(D166*5%)+D166</f>
        <v>1.05</v>
      </c>
      <c r="F166" s="393">
        <f t="shared" ref="F166:J166" si="27">(E166*5%)+E166</f>
        <v>1.1025</v>
      </c>
      <c r="G166" s="393">
        <f t="shared" si="27"/>
        <v>1.1576250000000001</v>
      </c>
      <c r="H166" s="393">
        <f t="shared" si="27"/>
        <v>1.2155062500000002</v>
      </c>
      <c r="I166" s="393">
        <f t="shared" si="27"/>
        <v>1.2762815625000004</v>
      </c>
      <c r="J166" s="393">
        <f t="shared" si="27"/>
        <v>1.3400956406250004</v>
      </c>
    </row>
    <row r="168" spans="1:10" ht="14.45" x14ac:dyDescent="0.35">
      <c r="A168" s="363" t="s">
        <v>0</v>
      </c>
      <c r="B168" s="363" t="s">
        <v>130</v>
      </c>
      <c r="C168" s="363" t="s">
        <v>149</v>
      </c>
      <c r="D168" s="364" t="s">
        <v>2</v>
      </c>
      <c r="E168" s="364" t="s">
        <v>3</v>
      </c>
      <c r="F168" s="364" t="s">
        <v>4</v>
      </c>
      <c r="G168" s="364" t="s">
        <v>5</v>
      </c>
      <c r="H168" s="364" t="s">
        <v>6</v>
      </c>
      <c r="I168" s="364" t="s">
        <v>165</v>
      </c>
      <c r="J168" s="364" t="s">
        <v>164</v>
      </c>
    </row>
    <row r="169" spans="1:10" ht="14.45" x14ac:dyDescent="0.35">
      <c r="A169" s="312"/>
      <c r="B169" s="312"/>
      <c r="C169" s="312"/>
      <c r="D169" s="312"/>
      <c r="E169" s="312"/>
      <c r="F169" s="312"/>
      <c r="G169" s="312"/>
      <c r="H169" s="312"/>
      <c r="I169" s="312"/>
      <c r="J169" s="312"/>
    </row>
    <row r="170" spans="1:10" ht="14.45" x14ac:dyDescent="0.35">
      <c r="A170" s="347" t="s">
        <v>126</v>
      </c>
      <c r="B170" s="347"/>
      <c r="C170" s="347"/>
      <c r="D170" s="394"/>
      <c r="E170" s="394"/>
      <c r="F170" s="394"/>
      <c r="G170" s="394"/>
      <c r="H170" s="394"/>
      <c r="I170" s="312"/>
      <c r="J170" s="312"/>
    </row>
    <row r="171" spans="1:10" ht="14.45" x14ac:dyDescent="0.35">
      <c r="A171" s="347" t="s">
        <v>312</v>
      </c>
      <c r="B171" s="347"/>
      <c r="C171" s="347"/>
      <c r="D171" s="312"/>
      <c r="E171" s="312"/>
      <c r="F171" s="312"/>
      <c r="G171" s="312"/>
      <c r="H171" s="312"/>
      <c r="I171" s="312"/>
      <c r="J171" s="312"/>
    </row>
    <row r="172" spans="1:10" ht="14.45" x14ac:dyDescent="0.35">
      <c r="A172" s="312" t="s">
        <v>1309</v>
      </c>
      <c r="B172" s="359" t="s">
        <v>354</v>
      </c>
      <c r="C172" s="359">
        <v>150</v>
      </c>
      <c r="D172" s="340">
        <f>(B116)*$C$172*D166</f>
        <v>6065956.512000002</v>
      </c>
      <c r="E172" s="340">
        <f t="shared" ref="E172:J172" si="28">(C116)*$C$172*E166</f>
        <v>6454177.7287680013</v>
      </c>
      <c r="F172" s="340">
        <f t="shared" si="28"/>
        <v>7200442.0286568021</v>
      </c>
      <c r="G172" s="340">
        <f t="shared" si="28"/>
        <v>8005197.3142125634</v>
      </c>
      <c r="H172" s="340">
        <f t="shared" si="28"/>
        <v>8872427.0232522581</v>
      </c>
      <c r="I172" s="340">
        <f t="shared" si="28"/>
        <v>9806366.7099103928</v>
      </c>
      <c r="J172" s="340">
        <f t="shared" si="28"/>
        <v>10811519.297676206</v>
      </c>
    </row>
    <row r="173" spans="1:10" ht="14.45" hidden="1" x14ac:dyDescent="0.35">
      <c r="A173" s="312" t="s">
        <v>1307</v>
      </c>
      <c r="B173" s="359" t="s">
        <v>354</v>
      </c>
      <c r="C173" s="359">
        <v>0</v>
      </c>
      <c r="D173" s="340">
        <f>(((B110*100)*(1-'Stock WC'!$D$17))/$B$119)*$C$173*D166</f>
        <v>0</v>
      </c>
      <c r="E173" s="340">
        <f>(((C110*100)*(1-'Stock WC'!$D$17))/$B$119)*$C$173*E166</f>
        <v>0</v>
      </c>
      <c r="F173" s="340">
        <f>(((D110*100)*(1-'Stock WC'!$D$17))/$B$119)*$C$173*F166</f>
        <v>0</v>
      </c>
      <c r="G173" s="340">
        <f>(((E110*100)*(1-'Stock WC'!$D$17))/$B$119)*$C$173*G166</f>
        <v>0</v>
      </c>
      <c r="H173" s="340">
        <f>(((F110*100)*(1-'Stock WC'!$D$17))/$B$119)*$C$173*H166</f>
        <v>0</v>
      </c>
      <c r="I173" s="340">
        <f>(((G110*100)*(1-'Stock WC'!$D$17))/$B$119)*$C$173*I166</f>
        <v>0</v>
      </c>
      <c r="J173" s="340">
        <f>(((H110*100)*(1-'Stock WC'!$D$17))/$B$119)*$C$173*J166</f>
        <v>0</v>
      </c>
    </row>
    <row r="174" spans="1:10" ht="14.45" hidden="1" x14ac:dyDescent="0.35">
      <c r="A174" s="312" t="s">
        <v>313</v>
      </c>
      <c r="B174" s="359"/>
      <c r="C174" s="359"/>
      <c r="D174" s="340">
        <f>(((B76*100)*(1-'Stock WC'!D17))/$B$119)*$C$174*D166</f>
        <v>0</v>
      </c>
      <c r="E174" s="340">
        <f>((((C76*100)*(1-'Stock WC'!$D$17))+((B76*100)*'Stock WC'!$D$17))/$B$119)*$C$174*E166</f>
        <v>0</v>
      </c>
      <c r="F174" s="340">
        <f>((((D76*100)*(1-'Stock WC'!$D$17))+((C76*100)*'Stock WC'!$D$17))/$B$119)*$C$174*F166</f>
        <v>0</v>
      </c>
      <c r="G174" s="340">
        <f>((((E76*100)*(1-'Stock WC'!$D$17))+((D76*100)*'Stock WC'!$D$17))/$B$119)*$C$174*G166</f>
        <v>0</v>
      </c>
      <c r="H174" s="340">
        <f>((((F76*100)*(1-'Stock WC'!$D$17))+((E76*100)*'Stock WC'!$D$17))/$B$119)*$C$174*H166</f>
        <v>0</v>
      </c>
      <c r="I174" s="340">
        <f>((((G76*100)*(1-'Stock WC'!$D$17))+((F76*100)*'Stock WC'!$D$17))/$B$119)*$C$174*I166</f>
        <v>0</v>
      </c>
      <c r="J174" s="340">
        <f>((((H76*100)*(1-'Stock WC'!$D$17))+((G76*100)*'Stock WC'!$D$17))/$B$119)*$C$174*J166</f>
        <v>0</v>
      </c>
    </row>
    <row r="175" spans="1:10" ht="14.45" hidden="1" x14ac:dyDescent="0.35">
      <c r="A175" s="312" t="s">
        <v>311</v>
      </c>
      <c r="B175" s="359"/>
      <c r="C175" s="359"/>
      <c r="D175" s="340">
        <f>(((B68*100)*(1-'Stock WC'!D17))/B119)*$C$175*D166</f>
        <v>0</v>
      </c>
      <c r="E175" s="340">
        <f>((((C68*100)*(1-'Stock WC'!$D$17))+((B68*100)*'Stock WC'!$D$17))/$B$119)*$C$175*E166</f>
        <v>0</v>
      </c>
      <c r="F175" s="340">
        <f>((((D68*100)*(1-'Stock WC'!$D$17))+((C68*100)*'Stock WC'!$D$17))/$B$119)*$C$175*F166</f>
        <v>0</v>
      </c>
      <c r="G175" s="340">
        <f>((((E68*100)*(1-'Stock WC'!$D$17))+((D68*100)*'Stock WC'!$D$17))/$B$119)*$C$175*G166</f>
        <v>0</v>
      </c>
      <c r="H175" s="340">
        <f>((((F68*100)*(1-'Stock WC'!$D$17))+((E68*100)*'Stock WC'!$D$17))/$B$119)*$C$175*H166</f>
        <v>0</v>
      </c>
      <c r="I175" s="340">
        <f>((((G68*100)*(1-'Stock WC'!$D$17))+((F68*100)*'Stock WC'!$D$17))/$B$119)*$C$175*I166</f>
        <v>0</v>
      </c>
      <c r="J175" s="340">
        <f>((((H68*100)*(1-'Stock WC'!$D$17))+((G68*100)*'Stock WC'!$D$17))/$B$119)*$C$175*J166</f>
        <v>0</v>
      </c>
    </row>
    <row r="176" spans="1:10" ht="14.45" hidden="1" x14ac:dyDescent="0.35">
      <c r="A176" s="312"/>
      <c r="B176" s="312"/>
      <c r="C176" s="312"/>
      <c r="D176" s="340"/>
      <c r="E176" s="340"/>
      <c r="F176" s="340"/>
      <c r="G176" s="340"/>
      <c r="H176" s="340"/>
      <c r="I176" s="340"/>
      <c r="J176" s="340"/>
    </row>
    <row r="177" spans="1:11" ht="14.45" hidden="1" x14ac:dyDescent="0.35">
      <c r="A177" s="347" t="s">
        <v>137</v>
      </c>
      <c r="B177" s="369" t="s">
        <v>354</v>
      </c>
      <c r="C177" s="369"/>
      <c r="D177" s="340">
        <f t="shared" ref="D177:J177" si="29">((B61+B93+B76+B68)*100)*$C$177*D166</f>
        <v>0</v>
      </c>
      <c r="E177" s="340">
        <f t="shared" si="29"/>
        <v>0</v>
      </c>
      <c r="F177" s="340">
        <f t="shared" si="29"/>
        <v>0</v>
      </c>
      <c r="G177" s="340">
        <f t="shared" si="29"/>
        <v>0</v>
      </c>
      <c r="H177" s="340">
        <f t="shared" si="29"/>
        <v>0</v>
      </c>
      <c r="I177" s="340">
        <f t="shared" si="29"/>
        <v>0</v>
      </c>
      <c r="J177" s="340">
        <f t="shared" si="29"/>
        <v>0</v>
      </c>
    </row>
    <row r="178" spans="1:11" ht="14.45" hidden="1" x14ac:dyDescent="0.35">
      <c r="A178" s="312"/>
      <c r="B178" s="359"/>
      <c r="C178" s="359"/>
      <c r="D178" s="340"/>
      <c r="E178" s="340"/>
      <c r="F178" s="340"/>
      <c r="G178" s="340"/>
      <c r="H178" s="340"/>
      <c r="I178" s="340"/>
      <c r="J178" s="340"/>
      <c r="K178" s="395">
        <f>[2]Output!T58*70*K166</f>
        <v>0</v>
      </c>
    </row>
    <row r="179" spans="1:11" ht="14.45" hidden="1" x14ac:dyDescent="0.35">
      <c r="A179" s="347" t="s">
        <v>289</v>
      </c>
      <c r="B179" s="369" t="s">
        <v>354</v>
      </c>
      <c r="C179" s="359"/>
      <c r="D179" s="340">
        <f t="shared" ref="D179:J179" si="30">(B33*100)*$C$179*D166</f>
        <v>0</v>
      </c>
      <c r="E179" s="340">
        <f t="shared" si="30"/>
        <v>0</v>
      </c>
      <c r="F179" s="340">
        <f t="shared" si="30"/>
        <v>0</v>
      </c>
      <c r="G179" s="340">
        <f t="shared" si="30"/>
        <v>0</v>
      </c>
      <c r="H179" s="340">
        <f t="shared" si="30"/>
        <v>0</v>
      </c>
      <c r="I179" s="340">
        <f t="shared" si="30"/>
        <v>0</v>
      </c>
      <c r="J179" s="340">
        <f t="shared" si="30"/>
        <v>0</v>
      </c>
    </row>
    <row r="180" spans="1:11" ht="14.45" hidden="1" x14ac:dyDescent="0.35">
      <c r="A180" s="312"/>
      <c r="B180" s="312"/>
      <c r="C180" s="312"/>
      <c r="D180" s="340"/>
      <c r="E180" s="340"/>
      <c r="F180" s="340"/>
      <c r="G180" s="340"/>
      <c r="H180" s="340"/>
      <c r="I180" s="340"/>
      <c r="J180" s="340"/>
    </row>
    <row r="181" spans="1:11" ht="14.45" x14ac:dyDescent="0.35">
      <c r="A181" s="347" t="s">
        <v>126</v>
      </c>
      <c r="B181" s="347"/>
      <c r="C181" s="347"/>
      <c r="D181" s="367">
        <f>SUM(D172:D179)</f>
        <v>6065956.512000002</v>
      </c>
      <c r="E181" s="367">
        <f t="shared" ref="E181:J181" si="31">SUM(E172:E179)</f>
        <v>6454177.7287680013</v>
      </c>
      <c r="F181" s="367">
        <f t="shared" si="31"/>
        <v>7200442.0286568021</v>
      </c>
      <c r="G181" s="367">
        <f t="shared" si="31"/>
        <v>8005197.3142125634</v>
      </c>
      <c r="H181" s="367">
        <f t="shared" si="31"/>
        <v>8872427.0232522581</v>
      </c>
      <c r="I181" s="367">
        <f t="shared" si="31"/>
        <v>9806366.7099103928</v>
      </c>
      <c r="J181" s="367">
        <f t="shared" si="31"/>
        <v>10811519.297676206</v>
      </c>
    </row>
    <row r="182" spans="1:11" ht="14.45" x14ac:dyDescent="0.35">
      <c r="A182" s="312"/>
      <c r="B182" s="312"/>
      <c r="C182" s="312"/>
      <c r="D182" s="340"/>
      <c r="E182" s="340"/>
      <c r="F182" s="340"/>
      <c r="G182" s="340"/>
      <c r="H182" s="340"/>
      <c r="I182" s="340"/>
      <c r="J182" s="340"/>
    </row>
    <row r="183" spans="1:11" ht="14.45" x14ac:dyDescent="0.35">
      <c r="A183" s="347" t="s">
        <v>138</v>
      </c>
      <c r="B183" s="347"/>
      <c r="C183" s="347"/>
      <c r="D183" s="340"/>
      <c r="E183" s="340"/>
      <c r="F183" s="340"/>
      <c r="G183" s="340"/>
      <c r="H183" s="340"/>
      <c r="I183" s="340"/>
      <c r="J183" s="340"/>
    </row>
    <row r="184" spans="1:11" ht="14.45" x14ac:dyDescent="0.35">
      <c r="A184" s="347" t="s">
        <v>307</v>
      </c>
      <c r="B184" s="347"/>
      <c r="C184" s="312"/>
      <c r="D184" s="340"/>
      <c r="E184" s="340"/>
      <c r="F184" s="340"/>
      <c r="G184" s="340"/>
      <c r="H184" s="340"/>
      <c r="I184" s="340"/>
      <c r="J184" s="340"/>
    </row>
    <row r="185" spans="1:11" ht="14.45" x14ac:dyDescent="0.35">
      <c r="A185" s="360" t="s">
        <v>1063</v>
      </c>
      <c r="B185" s="359" t="s">
        <v>355</v>
      </c>
      <c r="C185" s="381">
        <v>3500</v>
      </c>
      <c r="D185" s="340">
        <f t="shared" ref="D185:J185" si="32">(+B41+B53)*$C$185*D166</f>
        <v>1347990.3360000004</v>
      </c>
      <c r="E185" s="340">
        <f t="shared" si="32"/>
        <v>1509749.1763200003</v>
      </c>
      <c r="F185" s="340">
        <f t="shared" si="32"/>
        <v>1684313.9248320006</v>
      </c>
      <c r="G185" s="340">
        <f t="shared" si="32"/>
        <v>1872560.7752544009</v>
      </c>
      <c r="H185" s="340">
        <f t="shared" si="32"/>
        <v>2075421.5259069612</v>
      </c>
      <c r="I185" s="340">
        <f t="shared" si="32"/>
        <v>2293886.9496866418</v>
      </c>
      <c r="J185" s="340">
        <f t="shared" si="32"/>
        <v>2529010.3620295227</v>
      </c>
    </row>
    <row r="186" spans="1:11" ht="14.45" hidden="1" x14ac:dyDescent="0.35">
      <c r="A186" s="312" t="s">
        <v>314</v>
      </c>
      <c r="B186" s="359"/>
      <c r="C186" s="381"/>
      <c r="D186" s="340">
        <f t="shared" ref="D186:J186" si="33">(B36)*$C$186*D166</f>
        <v>0</v>
      </c>
      <c r="E186" s="340">
        <f t="shared" si="33"/>
        <v>0</v>
      </c>
      <c r="F186" s="340">
        <f t="shared" si="33"/>
        <v>0</v>
      </c>
      <c r="G186" s="340">
        <f t="shared" si="33"/>
        <v>0</v>
      </c>
      <c r="H186" s="340">
        <f t="shared" si="33"/>
        <v>0</v>
      </c>
      <c r="I186" s="340">
        <f t="shared" si="33"/>
        <v>0</v>
      </c>
      <c r="J186" s="340">
        <f t="shared" si="33"/>
        <v>0</v>
      </c>
    </row>
    <row r="187" spans="1:11" ht="14.45" hidden="1" x14ac:dyDescent="0.35">
      <c r="A187" s="312" t="s">
        <v>315</v>
      </c>
      <c r="B187" s="359"/>
      <c r="C187" s="381"/>
      <c r="D187" s="340">
        <f t="shared" ref="D187:J187" si="34">(B40)*$C$187*D166</f>
        <v>0</v>
      </c>
      <c r="E187" s="340">
        <f t="shared" si="34"/>
        <v>0</v>
      </c>
      <c r="F187" s="340">
        <f t="shared" si="34"/>
        <v>0</v>
      </c>
      <c r="G187" s="340">
        <f t="shared" si="34"/>
        <v>0</v>
      </c>
      <c r="H187" s="340">
        <f t="shared" si="34"/>
        <v>0</v>
      </c>
      <c r="I187" s="340">
        <f t="shared" si="34"/>
        <v>0</v>
      </c>
      <c r="J187" s="340">
        <f t="shared" si="34"/>
        <v>0</v>
      </c>
    </row>
    <row r="188" spans="1:11" ht="14.45" hidden="1" x14ac:dyDescent="0.35">
      <c r="A188" s="312" t="s">
        <v>311</v>
      </c>
      <c r="B188" s="359"/>
      <c r="C188" s="381"/>
      <c r="D188" s="340">
        <f t="shared" ref="D188:J188" si="35">(B38)*$C$188*D166</f>
        <v>0</v>
      </c>
      <c r="E188" s="340">
        <f t="shared" si="35"/>
        <v>0</v>
      </c>
      <c r="F188" s="340">
        <f t="shared" si="35"/>
        <v>0</v>
      </c>
      <c r="G188" s="340">
        <f t="shared" si="35"/>
        <v>0</v>
      </c>
      <c r="H188" s="340">
        <f t="shared" si="35"/>
        <v>0</v>
      </c>
      <c r="I188" s="340">
        <f t="shared" si="35"/>
        <v>0</v>
      </c>
      <c r="J188" s="340">
        <f t="shared" si="35"/>
        <v>0</v>
      </c>
    </row>
    <row r="189" spans="1:11" ht="14.45" x14ac:dyDescent="0.35">
      <c r="A189" s="312" t="s">
        <v>1301</v>
      </c>
      <c r="B189" s="359" t="s">
        <v>1298</v>
      </c>
      <c r="C189" s="359">
        <v>200</v>
      </c>
      <c r="D189" s="340">
        <f>(B114)*$C$189*D166*100</f>
        <v>385140.09600000008</v>
      </c>
      <c r="E189" s="340">
        <f t="shared" ref="E189:J189" si="36">(C114)*$C$189*E166*100</f>
        <v>431356.90752000012</v>
      </c>
      <c r="F189" s="340">
        <f t="shared" si="36"/>
        <v>481232.5499520002</v>
      </c>
      <c r="G189" s="340">
        <f t="shared" si="36"/>
        <v>535017.36435840034</v>
      </c>
      <c r="H189" s="340">
        <f t="shared" si="36"/>
        <v>592977.57883056044</v>
      </c>
      <c r="I189" s="340">
        <f t="shared" si="36"/>
        <v>655396.2713390406</v>
      </c>
      <c r="J189" s="340">
        <f t="shared" si="36"/>
        <v>722574.38915129227</v>
      </c>
    </row>
    <row r="190" spans="1:11" x14ac:dyDescent="0.25">
      <c r="A190" s="312" t="s">
        <v>316</v>
      </c>
      <c r="B190" s="359">
        <v>10</v>
      </c>
      <c r="C190" s="359">
        <v>300</v>
      </c>
      <c r="D190" s="340">
        <f t="shared" ref="D190:J190" si="37">B10*$B$190*$C$190*D166</f>
        <v>722137.68</v>
      </c>
      <c r="E190" s="340">
        <f t="shared" si="37"/>
        <v>808794.20160000015</v>
      </c>
      <c r="F190" s="340">
        <f t="shared" si="37"/>
        <v>902311.03116000036</v>
      </c>
      <c r="G190" s="340">
        <f t="shared" si="37"/>
        <v>1003157.5581720003</v>
      </c>
      <c r="H190" s="340">
        <f t="shared" si="37"/>
        <v>1111832.9603073003</v>
      </c>
      <c r="I190" s="340">
        <f t="shared" si="37"/>
        <v>1228868.0087607007</v>
      </c>
      <c r="J190" s="340">
        <f t="shared" si="37"/>
        <v>1354826.9796586728</v>
      </c>
    </row>
    <row r="191" spans="1:11" x14ac:dyDescent="0.25">
      <c r="A191" s="312" t="s">
        <v>140</v>
      </c>
      <c r="B191" s="385">
        <f>Capex!H54*0.746*8</f>
        <v>53.712000000000003</v>
      </c>
      <c r="C191" s="359">
        <v>8</v>
      </c>
      <c r="D191" s="340">
        <f t="shared" ref="D191:J191" si="38">$B$191*$C$191*B10*D166</f>
        <v>103433.22418176003</v>
      </c>
      <c r="E191" s="340">
        <f t="shared" si="38"/>
        <v>115845.21108357124</v>
      </c>
      <c r="F191" s="340">
        <f t="shared" si="38"/>
        <v>129239.81361510916</v>
      </c>
      <c r="G191" s="340">
        <f t="shared" si="38"/>
        <v>143684.26337209195</v>
      </c>
      <c r="H191" s="340">
        <f t="shared" si="38"/>
        <v>159250.05857073527</v>
      </c>
      <c r="I191" s="340">
        <f t="shared" si="38"/>
        <v>176013.2226308127</v>
      </c>
      <c r="J191" s="340">
        <f t="shared" si="38"/>
        <v>194054.57795047105</v>
      </c>
    </row>
    <row r="192" spans="1:11" x14ac:dyDescent="0.25">
      <c r="A192" s="312" t="s">
        <v>290</v>
      </c>
      <c r="B192" s="312"/>
      <c r="C192" s="359">
        <v>12</v>
      </c>
      <c r="D192" s="340">
        <f t="shared" ref="D192:J192" si="39">+(+B41+B53)*$C$192</f>
        <v>4621.681152000001</v>
      </c>
      <c r="E192" s="340">
        <f t="shared" si="39"/>
        <v>4929.7932288000011</v>
      </c>
      <c r="F192" s="340">
        <f t="shared" si="39"/>
        <v>5237.9053056000021</v>
      </c>
      <c r="G192" s="340">
        <f t="shared" si="39"/>
        <v>5546.0173824000021</v>
      </c>
      <c r="H192" s="340">
        <f t="shared" si="39"/>
        <v>5854.1294592000022</v>
      </c>
      <c r="I192" s="340">
        <f t="shared" si="39"/>
        <v>6162.2415360000032</v>
      </c>
      <c r="J192" s="340">
        <f t="shared" si="39"/>
        <v>6470.3536128000032</v>
      </c>
    </row>
    <row r="193" spans="1:10" x14ac:dyDescent="0.25">
      <c r="A193" s="304" t="s">
        <v>708</v>
      </c>
      <c r="B193" s="304"/>
      <c r="C193" s="370">
        <v>5</v>
      </c>
      <c r="D193" s="340">
        <f>+(B116)*$C$193</f>
        <v>202198.55040000007</v>
      </c>
      <c r="E193" s="340">
        <f t="shared" ref="E193:J193" si="40">+(C116)*$C$193</f>
        <v>204894.53107200004</v>
      </c>
      <c r="F193" s="340">
        <f t="shared" si="40"/>
        <v>217700.43926400004</v>
      </c>
      <c r="G193" s="340">
        <f t="shared" si="40"/>
        <v>230506.34745600008</v>
      </c>
      <c r="H193" s="340">
        <f t="shared" si="40"/>
        <v>243312.25564800005</v>
      </c>
      <c r="I193" s="340">
        <f t="shared" si="40"/>
        <v>256118.16384000008</v>
      </c>
      <c r="J193" s="340">
        <f t="shared" si="40"/>
        <v>268924.07203200005</v>
      </c>
    </row>
    <row r="194" spans="1:10" x14ac:dyDescent="0.25">
      <c r="A194" s="312" t="s">
        <v>292</v>
      </c>
      <c r="B194" s="312"/>
      <c r="C194" s="359">
        <v>20</v>
      </c>
      <c r="D194" s="340">
        <f t="shared" ref="D194:J194" si="41">+(+B41+B53)*$C$194</f>
        <v>7702.8019200000017</v>
      </c>
      <c r="E194" s="340">
        <f t="shared" si="41"/>
        <v>8216.3220480000018</v>
      </c>
      <c r="F194" s="340">
        <f t="shared" si="41"/>
        <v>8729.8421760000037</v>
      </c>
      <c r="G194" s="340">
        <f t="shared" si="41"/>
        <v>9243.3623040000039</v>
      </c>
      <c r="H194" s="340">
        <f t="shared" si="41"/>
        <v>9756.882432000004</v>
      </c>
      <c r="I194" s="340">
        <f t="shared" si="41"/>
        <v>10270.402560000004</v>
      </c>
      <c r="J194" s="340">
        <f t="shared" si="41"/>
        <v>10783.922688000004</v>
      </c>
    </row>
    <row r="195" spans="1:10" x14ac:dyDescent="0.25">
      <c r="A195" s="312"/>
      <c r="B195" s="312"/>
      <c r="C195" s="312"/>
      <c r="D195" s="312"/>
      <c r="E195" s="312"/>
      <c r="F195" s="312"/>
      <c r="G195" s="312"/>
      <c r="H195" s="312"/>
      <c r="I195" s="312"/>
      <c r="J195" s="312"/>
    </row>
    <row r="196" spans="1:10" ht="14.45" hidden="1" x14ac:dyDescent="0.35">
      <c r="A196" s="312"/>
      <c r="B196" s="312"/>
      <c r="C196" s="312"/>
      <c r="D196" s="312"/>
      <c r="E196" s="312"/>
      <c r="F196" s="312"/>
      <c r="G196" s="312"/>
      <c r="H196" s="312"/>
      <c r="I196" s="312"/>
      <c r="J196" s="312"/>
    </row>
    <row r="197" spans="1:10" x14ac:dyDescent="0.25">
      <c r="A197" s="396" t="s">
        <v>338</v>
      </c>
      <c r="B197" s="340"/>
      <c r="C197" s="340"/>
      <c r="D197" s="340"/>
      <c r="E197" s="340">
        <f>'Stock WC'!F8</f>
        <v>27655.215677337608</v>
      </c>
      <c r="F197" s="340">
        <f>'Stock WC'!G8</f>
        <v>30755.698208243721</v>
      </c>
      <c r="G197" s="340">
        <f>'Stock WC'!H8</f>
        <v>34200.356641287101</v>
      </c>
      <c r="H197" s="340">
        <f>'Stock WC'!I8</f>
        <v>37904.723259952945</v>
      </c>
      <c r="I197" s="340">
        <f>'Stock WC'!J8</f>
        <v>41886.485087227578</v>
      </c>
      <c r="J197" s="340">
        <f>'Stock WC'!K8</f>
        <v>46164.448577931958</v>
      </c>
    </row>
    <row r="198" spans="1:10" x14ac:dyDescent="0.25">
      <c r="A198" s="396" t="s">
        <v>339</v>
      </c>
      <c r="B198" s="340"/>
      <c r="C198" s="340"/>
      <c r="D198" s="340">
        <f>'Stock WC'!E17</f>
        <v>27655.215677337608</v>
      </c>
      <c r="E198" s="340">
        <f>'Stock WC'!F17</f>
        <v>30755.698208243721</v>
      </c>
      <c r="F198" s="340">
        <f>'Stock WC'!G17</f>
        <v>34200.356641287101</v>
      </c>
      <c r="G198" s="340">
        <f>'Stock WC'!H17</f>
        <v>37904.723259952945</v>
      </c>
      <c r="H198" s="340">
        <f>'Stock WC'!I17</f>
        <v>41886.485087227578</v>
      </c>
      <c r="I198" s="340">
        <f>'Stock WC'!J17</f>
        <v>46164.448577931958</v>
      </c>
      <c r="J198" s="340">
        <f>'Stock WC'!K17</f>
        <v>50758.607344347591</v>
      </c>
    </row>
    <row r="199" spans="1:10" x14ac:dyDescent="0.25">
      <c r="A199" s="340"/>
      <c r="B199" s="340"/>
      <c r="C199" s="340"/>
      <c r="D199" s="340"/>
      <c r="E199" s="340"/>
      <c r="F199" s="340"/>
      <c r="G199" s="340"/>
      <c r="H199" s="340"/>
      <c r="I199" s="340"/>
      <c r="J199" s="340"/>
    </row>
    <row r="200" spans="1:10" x14ac:dyDescent="0.25">
      <c r="A200" s="367" t="s">
        <v>317</v>
      </c>
      <c r="B200" s="340"/>
      <c r="C200" s="340"/>
      <c r="D200" s="367">
        <f t="shared" ref="D200:J200" si="42">SUM(D185:D197)-D198</f>
        <v>2745569.1539764232</v>
      </c>
      <c r="E200" s="367">
        <f t="shared" si="42"/>
        <v>3080685.6603414663</v>
      </c>
      <c r="F200" s="367">
        <f t="shared" si="42"/>
        <v>3425320.8478716668</v>
      </c>
      <c r="G200" s="367">
        <f t="shared" si="42"/>
        <v>3796011.3216806287</v>
      </c>
      <c r="H200" s="367">
        <f t="shared" si="42"/>
        <v>4194423.6293274825</v>
      </c>
      <c r="I200" s="367">
        <f t="shared" si="42"/>
        <v>4622437.2968624923</v>
      </c>
      <c r="J200" s="367">
        <f t="shared" si="42"/>
        <v>5082050.4983563432</v>
      </c>
    </row>
    <row r="202" spans="1:10" x14ac:dyDescent="0.25">
      <c r="A202" s="199" t="s">
        <v>305</v>
      </c>
      <c r="B202" s="199"/>
      <c r="C202" s="199"/>
      <c r="D202" s="367"/>
      <c r="E202" s="367"/>
      <c r="F202" s="367"/>
      <c r="G202" s="367"/>
      <c r="H202" s="367"/>
      <c r="I202" s="367"/>
      <c r="J202" s="367"/>
    </row>
    <row r="203" spans="1:10" x14ac:dyDescent="0.25">
      <c r="A203" s="312" t="s">
        <v>184</v>
      </c>
      <c r="B203" s="359">
        <v>1</v>
      </c>
      <c r="C203" s="381">
        <v>15000</v>
      </c>
      <c r="D203" s="340">
        <f t="shared" ref="D203:J203" si="43">$B$203*$C$203*12*D166</f>
        <v>180000</v>
      </c>
      <c r="E203" s="340">
        <f t="shared" si="43"/>
        <v>189000</v>
      </c>
      <c r="F203" s="340">
        <f t="shared" si="43"/>
        <v>198450</v>
      </c>
      <c r="G203" s="340">
        <f t="shared" si="43"/>
        <v>208372.50000000003</v>
      </c>
      <c r="H203" s="340">
        <f t="shared" si="43"/>
        <v>218791.12500000003</v>
      </c>
      <c r="I203" s="340">
        <f t="shared" si="43"/>
        <v>229730.68125000005</v>
      </c>
      <c r="J203" s="340">
        <f t="shared" si="43"/>
        <v>241217.21531250008</v>
      </c>
    </row>
    <row r="204" spans="1:10" ht="14.45" hidden="1" x14ac:dyDescent="0.35">
      <c r="A204" s="312"/>
      <c r="B204" s="359"/>
      <c r="C204" s="381"/>
      <c r="D204" s="340"/>
      <c r="E204" s="340"/>
      <c r="F204" s="340"/>
      <c r="G204" s="340"/>
      <c r="H204" s="340"/>
      <c r="I204" s="340"/>
      <c r="J204" s="340"/>
    </row>
    <row r="205" spans="1:10" ht="14.45" hidden="1" x14ac:dyDescent="0.35">
      <c r="A205" s="312"/>
      <c r="B205" s="359"/>
      <c r="C205" s="381"/>
      <c r="D205" s="340"/>
      <c r="E205" s="340"/>
      <c r="F205" s="340"/>
      <c r="G205" s="340"/>
      <c r="H205" s="340"/>
      <c r="I205" s="340"/>
      <c r="J205" s="340"/>
    </row>
    <row r="206" spans="1:10" ht="14.45" hidden="1" x14ac:dyDescent="0.35">
      <c r="A206" s="312"/>
      <c r="B206" s="359"/>
      <c r="C206" s="381"/>
      <c r="D206" s="340"/>
      <c r="E206" s="340"/>
      <c r="F206" s="340"/>
      <c r="G206" s="340"/>
      <c r="H206" s="340"/>
      <c r="I206" s="340"/>
      <c r="J206" s="340"/>
    </row>
    <row r="207" spans="1:10" ht="14.45" hidden="1" x14ac:dyDescent="0.35">
      <c r="A207" s="312"/>
      <c r="B207" s="359"/>
      <c r="C207" s="381"/>
      <c r="D207" s="340"/>
      <c r="E207" s="340"/>
      <c r="F207" s="340"/>
      <c r="G207" s="340"/>
      <c r="H207" s="340"/>
      <c r="I207" s="340"/>
      <c r="J207" s="340"/>
    </row>
    <row r="208" spans="1:10" x14ac:dyDescent="0.25">
      <c r="A208" s="347" t="s">
        <v>305</v>
      </c>
      <c r="B208" s="347"/>
      <c r="C208" s="347"/>
      <c r="D208" s="367">
        <f t="shared" ref="D208:J208" si="44">SUM(D203:D207)</f>
        <v>180000</v>
      </c>
      <c r="E208" s="367">
        <f t="shared" si="44"/>
        <v>189000</v>
      </c>
      <c r="F208" s="367">
        <f t="shared" si="44"/>
        <v>198450</v>
      </c>
      <c r="G208" s="367">
        <f t="shared" si="44"/>
        <v>208372.50000000003</v>
      </c>
      <c r="H208" s="367">
        <f t="shared" si="44"/>
        <v>218791.12500000003</v>
      </c>
      <c r="I208" s="367">
        <f t="shared" si="44"/>
        <v>229730.68125000005</v>
      </c>
      <c r="J208" s="367">
        <f t="shared" si="44"/>
        <v>241217.21531250008</v>
      </c>
    </row>
    <row r="209" spans="1:10" x14ac:dyDescent="0.25">
      <c r="A209" s="199" t="s">
        <v>293</v>
      </c>
      <c r="B209" s="199"/>
      <c r="C209" s="199"/>
      <c r="D209" s="367">
        <f t="shared" ref="D209:J209" si="45">D200+D208</f>
        <v>2925569.1539764232</v>
      </c>
      <c r="E209" s="367">
        <f t="shared" si="45"/>
        <v>3269685.6603414663</v>
      </c>
      <c r="F209" s="367">
        <f t="shared" si="45"/>
        <v>3623770.8478716668</v>
      </c>
      <c r="G209" s="367">
        <f t="shared" si="45"/>
        <v>4004383.8216806287</v>
      </c>
      <c r="H209" s="367">
        <f t="shared" si="45"/>
        <v>4413214.7543274825</v>
      </c>
      <c r="I209" s="367">
        <f t="shared" si="45"/>
        <v>4852167.9781124927</v>
      </c>
      <c r="J209" s="367">
        <f t="shared" si="45"/>
        <v>5323267.7136688437</v>
      </c>
    </row>
    <row r="210" spans="1:10" x14ac:dyDescent="0.25">
      <c r="A210" s="312"/>
      <c r="B210" s="312"/>
      <c r="C210" s="312"/>
      <c r="D210" s="340"/>
      <c r="E210" s="340"/>
      <c r="F210" s="340"/>
      <c r="G210" s="340"/>
      <c r="H210" s="340"/>
      <c r="I210" s="340"/>
      <c r="J210" s="340"/>
    </row>
    <row r="211" spans="1:10" x14ac:dyDescent="0.25">
      <c r="A211" s="347" t="s">
        <v>7</v>
      </c>
      <c r="B211" s="347"/>
      <c r="C211" s="347"/>
      <c r="D211" s="367">
        <f t="shared" ref="D211:J211" si="46">D181-D209</f>
        <v>3140387.3580235788</v>
      </c>
      <c r="E211" s="367">
        <f t="shared" si="46"/>
        <v>3184492.068426535</v>
      </c>
      <c r="F211" s="367">
        <f t="shared" si="46"/>
        <v>3576671.1807851354</v>
      </c>
      <c r="G211" s="367">
        <f t="shared" si="46"/>
        <v>4000813.4925319348</v>
      </c>
      <c r="H211" s="367">
        <f t="shared" si="46"/>
        <v>4459212.2689247755</v>
      </c>
      <c r="I211" s="367">
        <f t="shared" si="46"/>
        <v>4954198.7317979001</v>
      </c>
      <c r="J211" s="367">
        <f t="shared" si="46"/>
        <v>5488251.5840073619</v>
      </c>
    </row>
    <row r="212" spans="1:10" x14ac:dyDescent="0.25">
      <c r="A212" s="108"/>
      <c r="B212" s="108"/>
      <c r="C212" s="108"/>
    </row>
    <row r="213" spans="1:10" x14ac:dyDescent="0.25">
      <c r="D213" s="322">
        <f>D211/D181</f>
        <v>0.51770686977578806</v>
      </c>
      <c r="E213" s="322">
        <f t="shared" ref="E213:J213" si="47">E211/E181</f>
        <v>0.4934001203952596</v>
      </c>
      <c r="F213" s="322">
        <f t="shared" si="47"/>
        <v>0.49672939057775334</v>
      </c>
      <c r="G213" s="322">
        <f t="shared" si="47"/>
        <v>0.4997769993037926</v>
      </c>
      <c r="H213" s="322">
        <f t="shared" si="47"/>
        <v>0.50259216077386415</v>
      </c>
      <c r="I213" s="322">
        <f t="shared" si="47"/>
        <v>0.50520227096862969</v>
      </c>
      <c r="J213" s="322">
        <f t="shared" si="47"/>
        <v>0.50763000397057878</v>
      </c>
    </row>
    <row r="215" spans="1:10" x14ac:dyDescent="0.25">
      <c r="A215" s="565" t="s">
        <v>415</v>
      </c>
      <c r="B215" s="565"/>
      <c r="C215" s="565"/>
      <c r="D215" s="565"/>
      <c r="E215" s="565"/>
      <c r="F215" s="565"/>
      <c r="G215" s="565"/>
      <c r="H215" s="565"/>
      <c r="I215" s="565"/>
      <c r="J215" s="565"/>
    </row>
    <row r="217" spans="1:10" x14ac:dyDescent="0.25">
      <c r="A217" s="192" t="s">
        <v>518</v>
      </c>
    </row>
    <row r="218" spans="1:10" x14ac:dyDescent="0.25">
      <c r="A218" s="192">
        <v>1</v>
      </c>
      <c r="B218" s="192" t="s">
        <v>531</v>
      </c>
    </row>
    <row r="219" spans="1:10" x14ac:dyDescent="0.25">
      <c r="A219" s="192">
        <v>2</v>
      </c>
      <c r="B219" s="192" t="s">
        <v>532</v>
      </c>
    </row>
    <row r="220" spans="1:10" x14ac:dyDescent="0.25">
      <c r="A220" s="192">
        <v>3</v>
      </c>
      <c r="B220" s="192" t="s">
        <v>581</v>
      </c>
    </row>
  </sheetData>
  <mergeCells count="4">
    <mergeCell ref="A164:J164"/>
    <mergeCell ref="A3:H3"/>
    <mergeCell ref="A215:J215"/>
    <mergeCell ref="A4:H4"/>
  </mergeCells>
  <pageMargins left="0.70866141732283472" right="0.70866141732283472" top="0.18" bottom="0.25" header="0.11" footer="0.16"/>
  <pageSetup paperSize="9" scale="70"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90" zoomScaleSheetLayoutView="90" workbookViewId="0">
      <selection activeCell="C8" sqref="C8"/>
    </sheetView>
  </sheetViews>
  <sheetFormatPr defaultColWidth="8.7109375" defaultRowHeight="15" x14ac:dyDescent="0.25"/>
  <cols>
    <col min="1" max="1" width="30.42578125" style="192" bestFit="1" customWidth="1"/>
    <col min="2" max="2" width="9.85546875" style="192" customWidth="1"/>
    <col min="3" max="3" width="11.140625" style="192" customWidth="1"/>
    <col min="4" max="10" width="11.5703125" style="192" bestFit="1" customWidth="1"/>
    <col min="11" max="16384" width="8.7109375" style="192"/>
  </cols>
  <sheetData>
    <row r="1" spans="1:10" ht="14.45" x14ac:dyDescent="0.35">
      <c r="A1" s="638" t="s">
        <v>568</v>
      </c>
      <c r="B1" s="638"/>
      <c r="C1" s="638"/>
      <c r="D1" s="638"/>
      <c r="E1" s="638"/>
      <c r="F1" s="638"/>
      <c r="G1" s="638"/>
      <c r="H1" s="638"/>
    </row>
    <row r="2" spans="1:10" ht="14.45" x14ac:dyDescent="0.35">
      <c r="A2" s="638" t="s">
        <v>569</v>
      </c>
      <c r="B2" s="638"/>
      <c r="C2" s="638"/>
      <c r="D2" s="638"/>
      <c r="E2" s="638"/>
      <c r="F2" s="638"/>
      <c r="G2" s="638"/>
      <c r="H2" s="638"/>
    </row>
    <row r="3" spans="1:10" ht="14.45" x14ac:dyDescent="0.35">
      <c r="A3" s="362" t="s">
        <v>157</v>
      </c>
      <c r="B3" s="375">
        <v>350</v>
      </c>
      <c r="C3" s="376" t="s">
        <v>294</v>
      </c>
      <c r="D3" s="376"/>
      <c r="E3" s="376"/>
      <c r="F3" s="376"/>
      <c r="G3" s="335"/>
    </row>
    <row r="4" spans="1:10" ht="14.45" x14ac:dyDescent="0.35">
      <c r="A4" s="362"/>
      <c r="B4" s="377"/>
      <c r="C4" s="335"/>
      <c r="D4" s="335"/>
      <c r="E4" s="335"/>
      <c r="F4" s="335"/>
      <c r="G4" s="335"/>
    </row>
    <row r="5" spans="1:10" ht="14.45" x14ac:dyDescent="0.35">
      <c r="A5" s="362" t="s">
        <v>296</v>
      </c>
      <c r="B5" s="378">
        <v>10</v>
      </c>
      <c r="C5" s="335"/>
      <c r="D5" s="378"/>
      <c r="E5" s="378"/>
      <c r="F5" s="335"/>
      <c r="G5" s="335"/>
    </row>
    <row r="6" spans="1:10" ht="14.45" x14ac:dyDescent="0.35">
      <c r="A6" s="362"/>
      <c r="C6" s="378"/>
      <c r="D6" s="378"/>
      <c r="E6" s="378"/>
      <c r="F6" s="335"/>
      <c r="G6" s="335"/>
    </row>
    <row r="7" spans="1:10" ht="14.45" x14ac:dyDescent="0.35">
      <c r="A7" s="363" t="s">
        <v>127</v>
      </c>
      <c r="B7" s="364" t="s">
        <v>2</v>
      </c>
      <c r="C7" s="364" t="s">
        <v>3</v>
      </c>
      <c r="D7" s="364" t="s">
        <v>4</v>
      </c>
      <c r="E7" s="364" t="s">
        <v>5</v>
      </c>
      <c r="F7" s="364" t="s">
        <v>6</v>
      </c>
      <c r="G7" s="364" t="s">
        <v>165</v>
      </c>
      <c r="H7" s="364" t="s">
        <v>164</v>
      </c>
    </row>
    <row r="8" spans="1:10" ht="14.45" x14ac:dyDescent="0.35">
      <c r="A8" s="312" t="s">
        <v>297</v>
      </c>
      <c r="B8" s="308">
        <v>0.5</v>
      </c>
      <c r="C8" s="308">
        <f>B8+5%</f>
        <v>0.55000000000000004</v>
      </c>
      <c r="D8" s="308">
        <f>C8+5%</f>
        <v>0.60000000000000009</v>
      </c>
      <c r="E8" s="308">
        <f>D8+5%</f>
        <v>0.65000000000000013</v>
      </c>
      <c r="F8" s="308">
        <f>E8+5%</f>
        <v>0.70000000000000018</v>
      </c>
      <c r="G8" s="308">
        <f>F8</f>
        <v>0.70000000000000018</v>
      </c>
      <c r="H8" s="308">
        <f>G8</f>
        <v>0.70000000000000018</v>
      </c>
    </row>
    <row r="9" spans="1:10" ht="14.45" x14ac:dyDescent="0.35">
      <c r="A9" s="347" t="s">
        <v>318</v>
      </c>
      <c r="B9" s="379">
        <f t="shared" ref="B9:H9" si="0">$B$3*B8*$B$5</f>
        <v>1750</v>
      </c>
      <c r="C9" s="379">
        <f t="shared" si="0"/>
        <v>1925.0000000000002</v>
      </c>
      <c r="D9" s="379">
        <f t="shared" si="0"/>
        <v>2100.0000000000005</v>
      </c>
      <c r="E9" s="379">
        <f t="shared" si="0"/>
        <v>2275.0000000000005</v>
      </c>
      <c r="F9" s="379">
        <f t="shared" si="0"/>
        <v>2450.0000000000005</v>
      </c>
      <c r="G9" s="379">
        <f t="shared" si="0"/>
        <v>2450.0000000000005</v>
      </c>
      <c r="H9" s="379">
        <f t="shared" si="0"/>
        <v>2450.0000000000005</v>
      </c>
    </row>
    <row r="11" spans="1:10" ht="14.45" x14ac:dyDescent="0.35">
      <c r="A11" s="565" t="s">
        <v>570</v>
      </c>
      <c r="B11" s="565"/>
      <c r="C11" s="565"/>
      <c r="D11" s="565"/>
      <c r="E11" s="565"/>
      <c r="F11" s="565"/>
      <c r="G11" s="565"/>
      <c r="H11" s="565"/>
      <c r="I11" s="565"/>
      <c r="J11" s="565"/>
    </row>
    <row r="12" spans="1:10" ht="14.45" x14ac:dyDescent="0.35">
      <c r="A12" s="380"/>
      <c r="B12" s="380"/>
      <c r="C12" s="380"/>
      <c r="D12" s="380"/>
      <c r="E12" s="380"/>
      <c r="F12" s="380"/>
      <c r="G12" s="380"/>
      <c r="H12" s="380"/>
    </row>
    <row r="13" spans="1:10" ht="14.45" x14ac:dyDescent="0.35">
      <c r="D13" s="346">
        <v>1</v>
      </c>
      <c r="E13" s="344">
        <f>(D13*5%)+D13</f>
        <v>1.05</v>
      </c>
      <c r="F13" s="344">
        <f t="shared" ref="F13:J13" si="1">(E13*5%)+E13</f>
        <v>1.1025</v>
      </c>
      <c r="G13" s="344">
        <f t="shared" si="1"/>
        <v>1.1576250000000001</v>
      </c>
      <c r="H13" s="344">
        <f t="shared" si="1"/>
        <v>1.2155062500000002</v>
      </c>
      <c r="I13" s="344">
        <f t="shared" si="1"/>
        <v>1.2762815625000004</v>
      </c>
      <c r="J13" s="344">
        <f t="shared" si="1"/>
        <v>1.3400956406250004</v>
      </c>
    </row>
    <row r="14" spans="1:10" ht="14.45" x14ac:dyDescent="0.35">
      <c r="A14" s="363" t="s">
        <v>0</v>
      </c>
      <c r="B14" s="363" t="s">
        <v>130</v>
      </c>
      <c r="C14" s="363" t="s">
        <v>149</v>
      </c>
      <c r="D14" s="364" t="s">
        <v>2</v>
      </c>
      <c r="E14" s="364" t="s">
        <v>3</v>
      </c>
      <c r="F14" s="364" t="s">
        <v>4</v>
      </c>
      <c r="G14" s="364" t="s">
        <v>5</v>
      </c>
      <c r="H14" s="364" t="s">
        <v>6</v>
      </c>
      <c r="I14" s="364" t="s">
        <v>165</v>
      </c>
      <c r="J14" s="364" t="s">
        <v>164</v>
      </c>
    </row>
    <row r="15" spans="1:10" ht="14.45" x14ac:dyDescent="0.35">
      <c r="A15" s="312"/>
      <c r="B15" s="312"/>
      <c r="C15" s="312"/>
      <c r="D15" s="312"/>
      <c r="E15" s="312"/>
      <c r="F15" s="312"/>
      <c r="G15" s="312"/>
      <c r="H15" s="312"/>
      <c r="I15" s="312"/>
      <c r="J15" s="312"/>
    </row>
    <row r="16" spans="1:10" ht="14.45" x14ac:dyDescent="0.35">
      <c r="A16" s="347" t="s">
        <v>173</v>
      </c>
      <c r="B16" s="347"/>
      <c r="C16" s="347"/>
      <c r="D16" s="312"/>
      <c r="E16" s="312"/>
      <c r="F16" s="312"/>
      <c r="G16" s="312"/>
      <c r="H16" s="312"/>
      <c r="I16" s="312"/>
      <c r="J16" s="312"/>
    </row>
    <row r="17" spans="1:10" ht="14.45" x14ac:dyDescent="0.35">
      <c r="A17" s="312" t="s">
        <v>320</v>
      </c>
      <c r="B17" s="312"/>
      <c r="C17" s="381">
        <v>120</v>
      </c>
      <c r="D17" s="340">
        <f t="shared" ref="D17:J17" si="2">B9*$C$17*D13</f>
        <v>210000</v>
      </c>
      <c r="E17" s="340">
        <f t="shared" si="2"/>
        <v>242550.00000000003</v>
      </c>
      <c r="F17" s="340">
        <f t="shared" si="2"/>
        <v>277830.00000000006</v>
      </c>
      <c r="G17" s="340">
        <f t="shared" si="2"/>
        <v>316031.62500000012</v>
      </c>
      <c r="H17" s="340">
        <f t="shared" si="2"/>
        <v>357358.83750000014</v>
      </c>
      <c r="I17" s="340">
        <f t="shared" si="2"/>
        <v>375226.77937500016</v>
      </c>
      <c r="J17" s="340">
        <f t="shared" si="2"/>
        <v>393988.11834375019</v>
      </c>
    </row>
    <row r="18" spans="1:10" ht="14.45" x14ac:dyDescent="0.35">
      <c r="A18" s="312"/>
      <c r="B18" s="312"/>
      <c r="C18" s="340"/>
      <c r="D18" s="340"/>
      <c r="E18" s="340"/>
      <c r="F18" s="340"/>
      <c r="G18" s="340"/>
      <c r="H18" s="340"/>
      <c r="I18" s="340"/>
      <c r="J18" s="340"/>
    </row>
    <row r="19" spans="1:10" ht="14.45" x14ac:dyDescent="0.35">
      <c r="A19" s="347" t="s">
        <v>139</v>
      </c>
      <c r="B19" s="347"/>
      <c r="C19" s="367"/>
      <c r="D19" s="340">
        <f t="shared" ref="D19:J19" si="3">SUM(D17:D17)</f>
        <v>210000</v>
      </c>
      <c r="E19" s="340">
        <f t="shared" si="3"/>
        <v>242550.00000000003</v>
      </c>
      <c r="F19" s="340">
        <f t="shared" si="3"/>
        <v>277830.00000000006</v>
      </c>
      <c r="G19" s="340">
        <f t="shared" si="3"/>
        <v>316031.62500000012</v>
      </c>
      <c r="H19" s="340">
        <f t="shared" si="3"/>
        <v>357358.83750000014</v>
      </c>
      <c r="I19" s="340">
        <f t="shared" si="3"/>
        <v>375226.77937500016</v>
      </c>
      <c r="J19" s="340">
        <f t="shared" si="3"/>
        <v>393988.11834375019</v>
      </c>
    </row>
    <row r="20" spans="1:10" ht="14.45" x14ac:dyDescent="0.35">
      <c r="A20" s="312"/>
      <c r="B20" s="312"/>
      <c r="C20" s="340"/>
      <c r="D20" s="340"/>
      <c r="E20" s="340"/>
      <c r="F20" s="340"/>
      <c r="G20" s="340"/>
      <c r="H20" s="340"/>
      <c r="I20" s="340"/>
      <c r="J20" s="340"/>
    </row>
    <row r="21" spans="1:10" ht="14.45" x14ac:dyDescent="0.35">
      <c r="A21" s="347" t="s">
        <v>138</v>
      </c>
      <c r="B21" s="347"/>
      <c r="C21" s="340"/>
      <c r="D21" s="340"/>
      <c r="E21" s="340"/>
      <c r="F21" s="340"/>
      <c r="G21" s="340"/>
      <c r="H21" s="340"/>
      <c r="I21" s="340"/>
      <c r="J21" s="340"/>
    </row>
    <row r="22" spans="1:10" ht="14.45" x14ac:dyDescent="0.35">
      <c r="A22" s="347" t="s">
        <v>307</v>
      </c>
      <c r="B22" s="347"/>
      <c r="C22" s="340"/>
      <c r="D22" s="340"/>
      <c r="E22" s="340"/>
      <c r="F22" s="340"/>
      <c r="G22" s="340"/>
      <c r="H22" s="340"/>
      <c r="I22" s="340"/>
      <c r="J22" s="340"/>
    </row>
    <row r="23" spans="1:10" ht="14.45" x14ac:dyDescent="0.35">
      <c r="A23" s="312" t="s">
        <v>298</v>
      </c>
      <c r="B23" s="359" t="s">
        <v>294</v>
      </c>
      <c r="C23" s="381">
        <v>5</v>
      </c>
      <c r="D23" s="340">
        <f t="shared" ref="D23:J23" si="4">$B$3*$C$23*D13*4</f>
        <v>7000</v>
      </c>
      <c r="E23" s="340">
        <f t="shared" si="4"/>
        <v>7350</v>
      </c>
      <c r="F23" s="340">
        <f t="shared" si="4"/>
        <v>7717.5</v>
      </c>
      <c r="G23" s="340">
        <f t="shared" si="4"/>
        <v>8103.3750000000009</v>
      </c>
      <c r="H23" s="340">
        <f t="shared" si="4"/>
        <v>8508.5437500000007</v>
      </c>
      <c r="I23" s="340">
        <f t="shared" si="4"/>
        <v>8933.970937500002</v>
      </c>
      <c r="J23" s="340">
        <f t="shared" si="4"/>
        <v>9380.6694843750029</v>
      </c>
    </row>
    <row r="24" spans="1:10" ht="14.45" x14ac:dyDescent="0.35">
      <c r="A24" s="312" t="s">
        <v>299</v>
      </c>
      <c r="B24" s="359" t="s">
        <v>294</v>
      </c>
      <c r="C24" s="381">
        <v>5</v>
      </c>
      <c r="D24" s="340">
        <f t="shared" ref="D24:J24" si="5">$B$3*$C$24*D13*12</f>
        <v>21000</v>
      </c>
      <c r="E24" s="340">
        <f t="shared" si="5"/>
        <v>22050</v>
      </c>
      <c r="F24" s="340">
        <f t="shared" si="5"/>
        <v>23152.5</v>
      </c>
      <c r="G24" s="340">
        <f t="shared" si="5"/>
        <v>24310.125000000004</v>
      </c>
      <c r="H24" s="340">
        <f t="shared" si="5"/>
        <v>25525.631250000002</v>
      </c>
      <c r="I24" s="340">
        <f t="shared" si="5"/>
        <v>26801.912812500006</v>
      </c>
      <c r="J24" s="340">
        <f t="shared" si="5"/>
        <v>28142.00845312501</v>
      </c>
    </row>
    <row r="25" spans="1:10" ht="14.45" x14ac:dyDescent="0.35">
      <c r="A25" s="312" t="s">
        <v>300</v>
      </c>
      <c r="B25" s="359"/>
      <c r="C25" s="381">
        <f>B3*8</f>
        <v>2800</v>
      </c>
      <c r="D25" s="340">
        <f>$C$25*12*D13</f>
        <v>33600</v>
      </c>
      <c r="E25" s="340">
        <f t="shared" ref="E25:J25" si="6">$C$25*12*E13</f>
        <v>35280</v>
      </c>
      <c r="F25" s="340">
        <f t="shared" si="6"/>
        <v>37044</v>
      </c>
      <c r="G25" s="340">
        <f t="shared" si="6"/>
        <v>38896.200000000004</v>
      </c>
      <c r="H25" s="340">
        <f t="shared" si="6"/>
        <v>40841.010000000009</v>
      </c>
      <c r="I25" s="340">
        <f t="shared" si="6"/>
        <v>42883.060500000014</v>
      </c>
      <c r="J25" s="340">
        <f t="shared" si="6"/>
        <v>45027.213525000014</v>
      </c>
    </row>
    <row r="26" spans="1:10" ht="14.45" hidden="1" x14ac:dyDescent="0.35">
      <c r="A26" s="312"/>
      <c r="B26" s="359"/>
      <c r="C26" s="381"/>
      <c r="D26" s="340"/>
      <c r="E26" s="340"/>
      <c r="F26" s="340"/>
      <c r="G26" s="340"/>
      <c r="H26" s="340"/>
      <c r="I26" s="340"/>
      <c r="J26" s="340"/>
    </row>
    <row r="27" spans="1:10" ht="14.45" hidden="1" x14ac:dyDescent="0.35">
      <c r="A27" s="312"/>
      <c r="B27" s="359"/>
      <c r="C27" s="381"/>
      <c r="D27" s="340"/>
      <c r="E27" s="340"/>
      <c r="F27" s="340"/>
      <c r="G27" s="340"/>
      <c r="H27" s="340"/>
      <c r="I27" s="340"/>
      <c r="J27" s="340"/>
    </row>
    <row r="28" spans="1:10" ht="14.45" hidden="1" x14ac:dyDescent="0.35">
      <c r="A28" s="312"/>
      <c r="B28" s="359"/>
      <c r="C28" s="381"/>
      <c r="D28" s="340"/>
      <c r="E28" s="340"/>
      <c r="F28" s="340"/>
      <c r="G28" s="340"/>
      <c r="H28" s="340"/>
      <c r="I28" s="340"/>
      <c r="J28" s="340"/>
    </row>
    <row r="29" spans="1:10" ht="14.45" hidden="1" x14ac:dyDescent="0.35">
      <c r="A29" s="312"/>
      <c r="B29" s="359"/>
      <c r="C29" s="381"/>
      <c r="D29" s="340"/>
      <c r="E29" s="340"/>
      <c r="F29" s="340"/>
      <c r="G29" s="340"/>
      <c r="H29" s="340"/>
      <c r="I29" s="340"/>
      <c r="J29" s="340"/>
    </row>
    <row r="30" spans="1:10" ht="14.45" x14ac:dyDescent="0.35">
      <c r="A30" s="347" t="s">
        <v>317</v>
      </c>
      <c r="B30" s="369"/>
      <c r="C30" s="382"/>
      <c r="D30" s="367">
        <f>SUM(D23:D29)</f>
        <v>61600</v>
      </c>
      <c r="E30" s="367">
        <f t="shared" ref="E30:J30" si="7">SUM(E23:E29)</f>
        <v>64680</v>
      </c>
      <c r="F30" s="367">
        <f t="shared" si="7"/>
        <v>67914</v>
      </c>
      <c r="G30" s="367">
        <f t="shared" si="7"/>
        <v>71309.700000000012</v>
      </c>
      <c r="H30" s="367">
        <f t="shared" si="7"/>
        <v>74875.185000000012</v>
      </c>
      <c r="I30" s="367">
        <f t="shared" si="7"/>
        <v>78618.94425000003</v>
      </c>
      <c r="J30" s="367">
        <f t="shared" si="7"/>
        <v>82549.891462500033</v>
      </c>
    </row>
    <row r="31" spans="1:10" ht="14.45" x14ac:dyDescent="0.35">
      <c r="A31" s="347"/>
      <c r="B31" s="369"/>
      <c r="C31" s="382"/>
      <c r="D31" s="367"/>
      <c r="E31" s="367"/>
      <c r="F31" s="367"/>
      <c r="G31" s="367"/>
      <c r="H31" s="367"/>
      <c r="I31" s="367"/>
      <c r="J31" s="367"/>
    </row>
    <row r="32" spans="1:10" ht="14.45" x14ac:dyDescent="0.35">
      <c r="A32" s="347" t="s">
        <v>305</v>
      </c>
      <c r="B32" s="359"/>
      <c r="C32" s="381"/>
      <c r="D32" s="340"/>
      <c r="E32" s="340"/>
      <c r="F32" s="340"/>
      <c r="G32" s="340"/>
      <c r="H32" s="340"/>
      <c r="I32" s="340"/>
      <c r="J32" s="340"/>
    </row>
    <row r="33" spans="1:10" ht="14.45" x14ac:dyDescent="0.35">
      <c r="A33" s="312" t="s">
        <v>319</v>
      </c>
      <c r="B33" s="359">
        <v>1</v>
      </c>
      <c r="C33" s="381">
        <v>10000</v>
      </c>
      <c r="D33" s="340">
        <f>$B$33*$C$33*D13*12</f>
        <v>120000</v>
      </c>
      <c r="E33" s="340">
        <f t="shared" ref="E33:J33" si="8">$B$33*$C$33*E13*12</f>
        <v>126000</v>
      </c>
      <c r="F33" s="340">
        <f t="shared" si="8"/>
        <v>132300</v>
      </c>
      <c r="G33" s="340">
        <f t="shared" si="8"/>
        <v>138915.00000000003</v>
      </c>
      <c r="H33" s="340">
        <f t="shared" si="8"/>
        <v>145860.75000000003</v>
      </c>
      <c r="I33" s="340">
        <f t="shared" si="8"/>
        <v>153153.78750000003</v>
      </c>
      <c r="J33" s="340">
        <f t="shared" si="8"/>
        <v>160811.47687500005</v>
      </c>
    </row>
    <row r="34" spans="1:10" ht="14.45" x14ac:dyDescent="0.35">
      <c r="A34" s="312"/>
      <c r="B34" s="359"/>
      <c r="C34" s="381"/>
      <c r="D34" s="340"/>
      <c r="E34" s="340"/>
      <c r="F34" s="340"/>
      <c r="G34" s="340"/>
      <c r="H34" s="340"/>
      <c r="I34" s="340"/>
      <c r="J34" s="340"/>
    </row>
    <row r="35" spans="1:10" ht="14.45" x14ac:dyDescent="0.35">
      <c r="A35" s="312"/>
      <c r="B35" s="359"/>
      <c r="C35" s="381"/>
      <c r="D35" s="340"/>
      <c r="E35" s="340"/>
      <c r="F35" s="340"/>
      <c r="G35" s="340"/>
      <c r="H35" s="340"/>
      <c r="I35" s="340"/>
      <c r="J35" s="340"/>
    </row>
    <row r="36" spans="1:10" ht="14.45" x14ac:dyDescent="0.35">
      <c r="A36" s="347" t="s">
        <v>321</v>
      </c>
      <c r="B36" s="347"/>
      <c r="C36" s="367"/>
      <c r="D36" s="367">
        <f t="shared" ref="D36:J36" si="9">SUM(D33:D35)</f>
        <v>120000</v>
      </c>
      <c r="E36" s="367">
        <f t="shared" si="9"/>
        <v>126000</v>
      </c>
      <c r="F36" s="367">
        <f t="shared" si="9"/>
        <v>132300</v>
      </c>
      <c r="G36" s="367">
        <f t="shared" si="9"/>
        <v>138915.00000000003</v>
      </c>
      <c r="H36" s="367">
        <f t="shared" si="9"/>
        <v>145860.75000000003</v>
      </c>
      <c r="I36" s="367">
        <f t="shared" si="9"/>
        <v>153153.78750000003</v>
      </c>
      <c r="J36" s="367">
        <f t="shared" si="9"/>
        <v>160811.47687500005</v>
      </c>
    </row>
    <row r="37" spans="1:10" ht="14.45" x14ac:dyDescent="0.35">
      <c r="A37" s="347"/>
      <c r="B37" s="347"/>
      <c r="C37" s="367"/>
      <c r="D37" s="367"/>
      <c r="E37" s="367"/>
      <c r="F37" s="367"/>
      <c r="G37" s="367"/>
      <c r="H37" s="367"/>
      <c r="I37" s="367"/>
      <c r="J37" s="367"/>
    </row>
    <row r="38" spans="1:10" ht="14.45" x14ac:dyDescent="0.35">
      <c r="A38" s="347" t="s">
        <v>128</v>
      </c>
      <c r="B38" s="347"/>
      <c r="C38" s="367"/>
      <c r="D38" s="367">
        <f t="shared" ref="D38:J38" si="10">D30+D36</f>
        <v>181600</v>
      </c>
      <c r="E38" s="367">
        <f t="shared" si="10"/>
        <v>190680</v>
      </c>
      <c r="F38" s="367">
        <f t="shared" si="10"/>
        <v>200214</v>
      </c>
      <c r="G38" s="367">
        <f t="shared" si="10"/>
        <v>210224.70000000004</v>
      </c>
      <c r="H38" s="367">
        <f t="shared" si="10"/>
        <v>220735.93500000006</v>
      </c>
      <c r="I38" s="367">
        <f t="shared" si="10"/>
        <v>231772.73175000006</v>
      </c>
      <c r="J38" s="367">
        <f t="shared" si="10"/>
        <v>243361.36833750008</v>
      </c>
    </row>
    <row r="39" spans="1:10" ht="14.45" x14ac:dyDescent="0.35">
      <c r="A39" s="312"/>
      <c r="B39" s="312"/>
      <c r="C39" s="340"/>
      <c r="D39" s="340"/>
      <c r="E39" s="340"/>
      <c r="F39" s="340"/>
      <c r="G39" s="340"/>
      <c r="H39" s="340"/>
      <c r="I39" s="340"/>
      <c r="J39" s="340"/>
    </row>
    <row r="40" spans="1:10" ht="14.45" x14ac:dyDescent="0.35">
      <c r="A40" s="347" t="s">
        <v>709</v>
      </c>
      <c r="B40" s="347"/>
      <c r="C40" s="367"/>
      <c r="D40" s="367">
        <f t="shared" ref="D40:J40" si="11">D19-D38</f>
        <v>28400</v>
      </c>
      <c r="E40" s="367">
        <f t="shared" si="11"/>
        <v>51870.000000000029</v>
      </c>
      <c r="F40" s="367">
        <f t="shared" si="11"/>
        <v>77616.000000000058</v>
      </c>
      <c r="G40" s="367">
        <f t="shared" si="11"/>
        <v>105806.92500000008</v>
      </c>
      <c r="H40" s="367">
        <f t="shared" si="11"/>
        <v>136622.90250000008</v>
      </c>
      <c r="I40" s="367">
        <f t="shared" si="11"/>
        <v>143454.04762500009</v>
      </c>
      <c r="J40" s="367">
        <f t="shared" si="11"/>
        <v>150626.75000625011</v>
      </c>
    </row>
    <row r="43" spans="1:10" ht="14.45" x14ac:dyDescent="0.35">
      <c r="A43" s="565" t="s">
        <v>415</v>
      </c>
      <c r="B43" s="565"/>
      <c r="C43" s="565"/>
      <c r="D43" s="565"/>
      <c r="E43" s="565"/>
      <c r="F43" s="565"/>
      <c r="G43" s="565"/>
      <c r="H43" s="565"/>
      <c r="I43" s="565"/>
      <c r="J43" s="565"/>
    </row>
    <row r="45" spans="1:10" ht="14.45" x14ac:dyDescent="0.35">
      <c r="A45" s="192" t="s">
        <v>518</v>
      </c>
    </row>
    <row r="46" spans="1:10" ht="14.45" x14ac:dyDescent="0.35">
      <c r="A46" s="192">
        <v>1</v>
      </c>
      <c r="B46" s="192" t="s">
        <v>531</v>
      </c>
    </row>
    <row r="47" spans="1:10" ht="14.45" x14ac:dyDescent="0.35">
      <c r="A47" s="192">
        <v>2</v>
      </c>
      <c r="B47" s="192" t="s">
        <v>532</v>
      </c>
    </row>
    <row r="48" spans="1:10" ht="14.45" x14ac:dyDescent="0.35">
      <c r="A48" s="192">
        <v>3</v>
      </c>
      <c r="B48" s="192" t="s">
        <v>581</v>
      </c>
    </row>
  </sheetData>
  <mergeCells count="4">
    <mergeCell ref="A11:J11"/>
    <mergeCell ref="A1:H1"/>
    <mergeCell ref="A43:J43"/>
    <mergeCell ref="A2:H2"/>
  </mergeCells>
  <pageMargins left="0.70866141732283472" right="0.70866141732283472" top="0.19685039370078741" bottom="0.27559055118110237" header="0.15748031496062992" footer="0.15748031496062992"/>
  <pageSetup paperSize="9" scale="85" orientation="landscape"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view="pageBreakPreview" topLeftCell="A34" zoomScale="80" zoomScaleSheetLayoutView="80" workbookViewId="0">
      <selection activeCell="C8" sqref="C8"/>
    </sheetView>
  </sheetViews>
  <sheetFormatPr defaultColWidth="8.7109375" defaultRowHeight="15" x14ac:dyDescent="0.25"/>
  <cols>
    <col min="1" max="2" width="29.42578125" style="192" customWidth="1"/>
    <col min="3" max="3" width="12.140625" style="192" customWidth="1"/>
    <col min="4" max="4" width="10.42578125" style="192" bestFit="1" customWidth="1"/>
    <col min="5" max="5" width="11.5703125" style="192" bestFit="1" customWidth="1"/>
    <col min="6" max="6" width="13.28515625" style="192" bestFit="1" customWidth="1"/>
    <col min="7" max="8" width="11.5703125" style="192" bestFit="1" customWidth="1"/>
    <col min="9" max="9" width="13.85546875" style="192" bestFit="1" customWidth="1"/>
    <col min="10" max="10" width="14.140625" style="192" bestFit="1" customWidth="1"/>
    <col min="11" max="11" width="13.42578125" style="192" bestFit="1" customWidth="1"/>
    <col min="12" max="12" width="12.140625" style="192" customWidth="1"/>
    <col min="13" max="13" width="12" style="192" bestFit="1" customWidth="1"/>
    <col min="14" max="14" width="23.28515625" style="192" customWidth="1"/>
    <col min="15" max="17" width="8.7109375" style="192"/>
    <col min="18" max="18" width="12.7109375" style="192" bestFit="1" customWidth="1"/>
    <col min="19" max="16384" width="8.7109375" style="192"/>
  </cols>
  <sheetData>
    <row r="1" spans="1:13" ht="14.45" x14ac:dyDescent="0.35">
      <c r="A1" s="565" t="s">
        <v>571</v>
      </c>
      <c r="B1" s="565"/>
      <c r="C1" s="565"/>
      <c r="D1" s="565"/>
      <c r="E1" s="565"/>
      <c r="F1" s="565"/>
      <c r="G1" s="565"/>
      <c r="H1" s="565"/>
      <c r="I1" s="565"/>
      <c r="J1" s="565"/>
      <c r="K1" s="565"/>
      <c r="L1" s="565"/>
    </row>
    <row r="2" spans="1:13" ht="14.45" x14ac:dyDescent="0.35">
      <c r="A2" s="565" t="s">
        <v>572</v>
      </c>
      <c r="B2" s="565"/>
      <c r="C2" s="565"/>
      <c r="D2" s="565"/>
      <c r="E2" s="565"/>
      <c r="F2" s="565"/>
      <c r="G2" s="565"/>
      <c r="H2" s="565"/>
      <c r="I2" s="565"/>
      <c r="J2" s="565"/>
      <c r="K2" s="565"/>
      <c r="L2" s="565"/>
    </row>
    <row r="4" spans="1:13" ht="43.5" x14ac:dyDescent="0.35">
      <c r="A4" s="273" t="s">
        <v>141</v>
      </c>
      <c r="B4" s="357" t="s">
        <v>423</v>
      </c>
      <c r="C4" s="357" t="s">
        <v>426</v>
      </c>
      <c r="D4" s="357" t="s">
        <v>424</v>
      </c>
      <c r="E4" s="357" t="s">
        <v>425</v>
      </c>
      <c r="F4" s="357" t="s">
        <v>301</v>
      </c>
      <c r="G4" s="357" t="s">
        <v>427</v>
      </c>
      <c r="H4" s="357" t="s">
        <v>428</v>
      </c>
      <c r="I4" s="357" t="s">
        <v>429</v>
      </c>
      <c r="J4" s="358" t="s">
        <v>432</v>
      </c>
      <c r="K4" s="357" t="s">
        <v>430</v>
      </c>
      <c r="L4" s="358" t="s">
        <v>431</v>
      </c>
      <c r="M4" s="357" t="s">
        <v>433</v>
      </c>
    </row>
    <row r="5" spans="1:13" ht="14.45" x14ac:dyDescent="0.35">
      <c r="A5" s="228">
        <v>1</v>
      </c>
      <c r="B5" s="359" t="str">
        <f>+Capex!C23</f>
        <v>ROTAVATOR - 5 FEET</v>
      </c>
      <c r="C5" s="359">
        <f>+Capex!E23</f>
        <v>1</v>
      </c>
      <c r="D5" s="359">
        <v>90</v>
      </c>
      <c r="E5" s="359">
        <v>4</v>
      </c>
      <c r="F5" s="360">
        <f t="shared" ref="F5:F12" si="0">D5*E5*C5</f>
        <v>360</v>
      </c>
      <c r="G5" s="359">
        <v>2</v>
      </c>
      <c r="H5" s="360">
        <f>F5/G5</f>
        <v>180</v>
      </c>
      <c r="I5" s="359">
        <v>8</v>
      </c>
      <c r="J5" s="360">
        <f t="shared" ref="J5:J12" si="1">H5*I5</f>
        <v>1440</v>
      </c>
      <c r="K5" s="359">
        <v>1500</v>
      </c>
      <c r="L5" s="359">
        <v>1</v>
      </c>
      <c r="M5" s="360">
        <f t="shared" ref="M5:M12" si="2">D5*L5</f>
        <v>90</v>
      </c>
    </row>
    <row r="6" spans="1:13" ht="14.45" x14ac:dyDescent="0.35">
      <c r="A6" s="228">
        <f>A5+1</f>
        <v>2</v>
      </c>
      <c r="B6" s="359" t="str">
        <f>+Capex!C24</f>
        <v>PLOW</v>
      </c>
      <c r="C6" s="359">
        <f>+Capex!E24</f>
        <v>1</v>
      </c>
      <c r="D6" s="359">
        <v>90</v>
      </c>
      <c r="E6" s="359">
        <v>4</v>
      </c>
      <c r="F6" s="360">
        <f t="shared" si="0"/>
        <v>360</v>
      </c>
      <c r="G6" s="359">
        <v>2</v>
      </c>
      <c r="H6" s="360">
        <f>F6/G6</f>
        <v>180</v>
      </c>
      <c r="I6" s="359">
        <v>8</v>
      </c>
      <c r="J6" s="360">
        <f t="shared" si="1"/>
        <v>1440</v>
      </c>
      <c r="K6" s="359">
        <v>1500</v>
      </c>
      <c r="L6" s="359">
        <v>1</v>
      </c>
      <c r="M6" s="360">
        <f t="shared" si="2"/>
        <v>90</v>
      </c>
    </row>
    <row r="7" spans="1:13" ht="14.45" x14ac:dyDescent="0.35">
      <c r="A7" s="228">
        <f t="shared" ref="A7:A12" si="3">A6+1</f>
        <v>3</v>
      </c>
      <c r="B7" s="359" t="str">
        <f>+Capex!C25</f>
        <v>CULTIVATOR</v>
      </c>
      <c r="C7" s="359">
        <f>+Capex!E25</f>
        <v>1</v>
      </c>
      <c r="D7" s="359">
        <v>90</v>
      </c>
      <c r="E7" s="359">
        <v>4</v>
      </c>
      <c r="F7" s="360">
        <f t="shared" si="0"/>
        <v>360</v>
      </c>
      <c r="G7" s="359">
        <v>2</v>
      </c>
      <c r="H7" s="360">
        <f>F7/G7</f>
        <v>180</v>
      </c>
      <c r="I7" s="359">
        <v>8</v>
      </c>
      <c r="J7" s="360">
        <f t="shared" si="1"/>
        <v>1440</v>
      </c>
      <c r="K7" s="359">
        <v>1500</v>
      </c>
      <c r="L7" s="359">
        <v>1</v>
      </c>
      <c r="M7" s="360">
        <f t="shared" si="2"/>
        <v>90</v>
      </c>
    </row>
    <row r="8" spans="1:13" ht="14.45" x14ac:dyDescent="0.35">
      <c r="A8" s="228">
        <f t="shared" si="3"/>
        <v>4</v>
      </c>
      <c r="B8" s="359" t="str">
        <f>+Capex!C26</f>
        <v>THRESHER</v>
      </c>
      <c r="C8" s="359">
        <f>+Capex!E26</f>
        <v>1</v>
      </c>
      <c r="D8" s="312">
        <v>60</v>
      </c>
      <c r="E8" s="359">
        <v>6</v>
      </c>
      <c r="F8" s="360">
        <f t="shared" si="0"/>
        <v>360</v>
      </c>
      <c r="G8" s="312">
        <v>1</v>
      </c>
      <c r="H8" s="360">
        <f t="shared" ref="H8:H12" si="4">F8/G8</f>
        <v>360</v>
      </c>
      <c r="I8" s="312">
        <v>8</v>
      </c>
      <c r="J8" s="360">
        <f t="shared" si="1"/>
        <v>2880</v>
      </c>
      <c r="K8" s="359">
        <v>1200</v>
      </c>
      <c r="L8" s="359">
        <v>1</v>
      </c>
      <c r="M8" s="360">
        <f t="shared" si="2"/>
        <v>60</v>
      </c>
    </row>
    <row r="9" spans="1:13" ht="14.45" x14ac:dyDescent="0.35">
      <c r="A9" s="228">
        <f t="shared" si="3"/>
        <v>5</v>
      </c>
      <c r="B9" s="359" t="str">
        <f>+Capex!C30</f>
        <v>PADDY REAPER - 5 PR 5.5 HP</v>
      </c>
      <c r="C9" s="359">
        <f>+Capex!E30</f>
        <v>1</v>
      </c>
      <c r="D9" s="312">
        <v>60</v>
      </c>
      <c r="E9" s="359">
        <v>6</v>
      </c>
      <c r="F9" s="360">
        <f t="shared" si="0"/>
        <v>360</v>
      </c>
      <c r="G9" s="312">
        <v>2</v>
      </c>
      <c r="H9" s="360">
        <f t="shared" si="4"/>
        <v>180</v>
      </c>
      <c r="I9" s="312">
        <v>10</v>
      </c>
      <c r="J9" s="360">
        <f t="shared" si="1"/>
        <v>1800</v>
      </c>
      <c r="K9" s="359">
        <v>1200</v>
      </c>
      <c r="L9" s="359">
        <v>1</v>
      </c>
      <c r="M9" s="360">
        <f t="shared" si="2"/>
        <v>60</v>
      </c>
    </row>
    <row r="10" spans="1:13" ht="14.45" x14ac:dyDescent="0.35">
      <c r="A10" s="228">
        <f t="shared" si="3"/>
        <v>6</v>
      </c>
      <c r="B10" s="359" t="str">
        <f>+Capex!C31</f>
        <v>POWER TRILLER -  10 HP</v>
      </c>
      <c r="C10" s="359">
        <f>+Capex!E31</f>
        <v>1</v>
      </c>
      <c r="D10" s="312">
        <v>120</v>
      </c>
      <c r="E10" s="359">
        <v>4</v>
      </c>
      <c r="F10" s="360">
        <f t="shared" si="0"/>
        <v>480</v>
      </c>
      <c r="G10" s="312">
        <v>2</v>
      </c>
      <c r="H10" s="360">
        <f t="shared" si="4"/>
        <v>240</v>
      </c>
      <c r="I10" s="312">
        <v>8</v>
      </c>
      <c r="J10" s="360">
        <f t="shared" si="1"/>
        <v>1920</v>
      </c>
      <c r="K10" s="359">
        <v>1200</v>
      </c>
      <c r="L10" s="359">
        <v>1</v>
      </c>
      <c r="M10" s="360">
        <f t="shared" si="2"/>
        <v>120</v>
      </c>
    </row>
    <row r="11" spans="1:13" ht="14.45" x14ac:dyDescent="0.35">
      <c r="A11" s="228">
        <f t="shared" si="3"/>
        <v>7</v>
      </c>
      <c r="B11" s="359" t="str">
        <f>+Capex!C27</f>
        <v>STRAW REAPER</v>
      </c>
      <c r="C11" s="359">
        <f>+Capex!E27</f>
        <v>1</v>
      </c>
      <c r="D11" s="312">
        <v>120</v>
      </c>
      <c r="E11" s="359">
        <v>4</v>
      </c>
      <c r="F11" s="360">
        <f t="shared" si="0"/>
        <v>480</v>
      </c>
      <c r="G11" s="312">
        <v>3</v>
      </c>
      <c r="H11" s="360">
        <f t="shared" si="4"/>
        <v>160</v>
      </c>
      <c r="I11" s="312">
        <v>12</v>
      </c>
      <c r="J11" s="360">
        <f t="shared" si="1"/>
        <v>1920</v>
      </c>
      <c r="K11" s="359">
        <v>1200</v>
      </c>
      <c r="L11" s="359">
        <v>1</v>
      </c>
      <c r="M11" s="360">
        <f t="shared" si="2"/>
        <v>120</v>
      </c>
    </row>
    <row r="12" spans="1:13" ht="14.45" x14ac:dyDescent="0.35">
      <c r="A12" s="228">
        <f t="shared" si="3"/>
        <v>8</v>
      </c>
      <c r="B12" s="359" t="str">
        <f>+Capex!C28</f>
        <v>POST HOLE DIGGER</v>
      </c>
      <c r="C12" s="359">
        <f>+Capex!E28</f>
        <v>1</v>
      </c>
      <c r="D12" s="312">
        <v>60</v>
      </c>
      <c r="E12" s="359">
        <v>6</v>
      </c>
      <c r="F12" s="360">
        <f t="shared" si="0"/>
        <v>360</v>
      </c>
      <c r="G12" s="312">
        <v>3</v>
      </c>
      <c r="H12" s="360">
        <f t="shared" si="4"/>
        <v>120</v>
      </c>
      <c r="I12" s="312">
        <v>12</v>
      </c>
      <c r="J12" s="360">
        <f t="shared" si="1"/>
        <v>1440</v>
      </c>
      <c r="K12" s="359">
        <v>1000</v>
      </c>
      <c r="L12" s="359">
        <v>1</v>
      </c>
      <c r="M12" s="360">
        <f t="shared" si="2"/>
        <v>60</v>
      </c>
    </row>
    <row r="13" spans="1:13" ht="14.45" x14ac:dyDescent="0.35">
      <c r="A13" s="361"/>
      <c r="C13" s="335"/>
      <c r="D13" s="335"/>
      <c r="E13" s="335"/>
      <c r="F13" s="335"/>
      <c r="G13" s="335"/>
      <c r="H13" s="335"/>
      <c r="I13" s="335"/>
      <c r="J13" s="335"/>
      <c r="K13" s="335"/>
      <c r="L13" s="335"/>
      <c r="M13" s="362"/>
    </row>
    <row r="14" spans="1:13" ht="14.45" x14ac:dyDescent="0.35">
      <c r="A14" s="565" t="s">
        <v>573</v>
      </c>
      <c r="B14" s="565"/>
      <c r="C14" s="565"/>
      <c r="D14" s="565"/>
      <c r="E14" s="565"/>
      <c r="F14" s="565"/>
      <c r="G14" s="565"/>
      <c r="H14" s="565"/>
      <c r="I14" s="565"/>
      <c r="J14" s="565"/>
      <c r="K14" s="565"/>
    </row>
    <row r="16" spans="1:13" ht="14.45" x14ac:dyDescent="0.35">
      <c r="E16" s="346">
        <v>1</v>
      </c>
      <c r="F16" s="344">
        <f>(E16*5%)+E16</f>
        <v>1.05</v>
      </c>
      <c r="G16" s="344">
        <f t="shared" ref="G16:K16" si="5">(F16*5%)+F16</f>
        <v>1.1025</v>
      </c>
      <c r="H16" s="344">
        <f t="shared" si="5"/>
        <v>1.1576250000000001</v>
      </c>
      <c r="I16" s="344">
        <f t="shared" si="5"/>
        <v>1.2155062500000002</v>
      </c>
      <c r="J16" s="344">
        <f t="shared" si="5"/>
        <v>1.2762815625000004</v>
      </c>
      <c r="K16" s="344">
        <f t="shared" si="5"/>
        <v>1.3400956406250004</v>
      </c>
    </row>
    <row r="17" spans="1:11" ht="14.45" x14ac:dyDescent="0.35">
      <c r="A17" s="363" t="s">
        <v>0</v>
      </c>
      <c r="B17" s="363" t="s">
        <v>130</v>
      </c>
      <c r="C17" s="363" t="s">
        <v>142</v>
      </c>
      <c r="D17" s="363" t="s">
        <v>149</v>
      </c>
      <c r="E17" s="364" t="s">
        <v>2</v>
      </c>
      <c r="F17" s="364" t="s">
        <v>3</v>
      </c>
      <c r="G17" s="364" t="s">
        <v>4</v>
      </c>
      <c r="H17" s="364" t="s">
        <v>5</v>
      </c>
      <c r="I17" s="364" t="s">
        <v>6</v>
      </c>
      <c r="J17" s="364" t="s">
        <v>165</v>
      </c>
      <c r="K17" s="364" t="s">
        <v>164</v>
      </c>
    </row>
    <row r="18" spans="1:11" ht="14.45" x14ac:dyDescent="0.35">
      <c r="A18" s="347"/>
      <c r="B18" s="347"/>
      <c r="C18" s="347"/>
      <c r="D18" s="347"/>
      <c r="E18" s="312"/>
      <c r="F18" s="312"/>
      <c r="G18" s="312"/>
      <c r="H18" s="312"/>
      <c r="I18" s="312"/>
      <c r="J18" s="312"/>
      <c r="K18" s="312"/>
    </row>
    <row r="19" spans="1:11" ht="14.45" x14ac:dyDescent="0.35">
      <c r="A19" s="347" t="s">
        <v>126</v>
      </c>
      <c r="B19" s="347"/>
      <c r="C19" s="347"/>
      <c r="D19" s="347"/>
      <c r="E19" s="312"/>
      <c r="F19" s="312"/>
      <c r="G19" s="312"/>
      <c r="H19" s="312"/>
      <c r="I19" s="312"/>
      <c r="J19" s="312"/>
      <c r="K19" s="312"/>
    </row>
    <row r="20" spans="1:11" ht="14.45" x14ac:dyDescent="0.35">
      <c r="A20" s="199" t="s">
        <v>434</v>
      </c>
      <c r="B20" s="304"/>
      <c r="C20" s="365"/>
      <c r="D20" s="365"/>
      <c r="E20" s="340"/>
      <c r="F20" s="340"/>
      <c r="G20" s="340"/>
      <c r="H20" s="340"/>
      <c r="I20" s="340"/>
      <c r="J20" s="340"/>
      <c r="K20" s="340"/>
    </row>
    <row r="21" spans="1:11" ht="14.45" x14ac:dyDescent="0.35">
      <c r="A21" s="304" t="str">
        <f t="shared" ref="A21:A28" si="6">B5</f>
        <v>ROTAVATOR - 5 FEET</v>
      </c>
      <c r="B21" s="304"/>
      <c r="C21" s="365">
        <f t="shared" ref="C21:C28" si="7">H5</f>
        <v>180</v>
      </c>
      <c r="D21" s="365">
        <f t="shared" ref="D21:D28" si="8">K5</f>
        <v>1500</v>
      </c>
      <c r="E21" s="340">
        <f t="shared" ref="E21:K21" si="9">$C$21*$D$21*E16</f>
        <v>270000</v>
      </c>
      <c r="F21" s="340">
        <f t="shared" si="9"/>
        <v>283500</v>
      </c>
      <c r="G21" s="340">
        <f t="shared" si="9"/>
        <v>297675</v>
      </c>
      <c r="H21" s="340">
        <f t="shared" si="9"/>
        <v>312558.75000000006</v>
      </c>
      <c r="I21" s="340">
        <f t="shared" si="9"/>
        <v>328186.68750000006</v>
      </c>
      <c r="J21" s="340">
        <f t="shared" si="9"/>
        <v>344596.02187500009</v>
      </c>
      <c r="K21" s="340">
        <f t="shared" si="9"/>
        <v>361825.82296875009</v>
      </c>
    </row>
    <row r="22" spans="1:11" ht="14.45" x14ac:dyDescent="0.35">
      <c r="A22" s="304" t="str">
        <f t="shared" si="6"/>
        <v>PLOW</v>
      </c>
      <c r="B22" s="304"/>
      <c r="C22" s="365">
        <f t="shared" si="7"/>
        <v>180</v>
      </c>
      <c r="D22" s="365">
        <f t="shared" si="8"/>
        <v>1500</v>
      </c>
      <c r="E22" s="340">
        <f t="shared" ref="E22:K22" si="10">$C$22*$D$22*E16</f>
        <v>270000</v>
      </c>
      <c r="F22" s="340">
        <f t="shared" si="10"/>
        <v>283500</v>
      </c>
      <c r="G22" s="340">
        <f t="shared" si="10"/>
        <v>297675</v>
      </c>
      <c r="H22" s="340">
        <f t="shared" si="10"/>
        <v>312558.75000000006</v>
      </c>
      <c r="I22" s="340">
        <f t="shared" si="10"/>
        <v>328186.68750000006</v>
      </c>
      <c r="J22" s="340">
        <f t="shared" si="10"/>
        <v>344596.02187500009</v>
      </c>
      <c r="K22" s="340">
        <f t="shared" si="10"/>
        <v>361825.82296875009</v>
      </c>
    </row>
    <row r="23" spans="1:11" ht="14.45" x14ac:dyDescent="0.35">
      <c r="A23" s="304" t="str">
        <f t="shared" si="6"/>
        <v>CULTIVATOR</v>
      </c>
      <c r="B23" s="304"/>
      <c r="C23" s="365">
        <f t="shared" si="7"/>
        <v>180</v>
      </c>
      <c r="D23" s="365">
        <f t="shared" si="8"/>
        <v>1500</v>
      </c>
      <c r="E23" s="340">
        <f t="shared" ref="E23:K23" si="11">$C$23*$D$23*E16</f>
        <v>270000</v>
      </c>
      <c r="F23" s="340">
        <f t="shared" si="11"/>
        <v>283500</v>
      </c>
      <c r="G23" s="340">
        <f t="shared" si="11"/>
        <v>297675</v>
      </c>
      <c r="H23" s="340">
        <f t="shared" si="11"/>
        <v>312558.75000000006</v>
      </c>
      <c r="I23" s="340">
        <f t="shared" si="11"/>
        <v>328186.68750000006</v>
      </c>
      <c r="J23" s="340">
        <f t="shared" si="11"/>
        <v>344596.02187500009</v>
      </c>
      <c r="K23" s="340">
        <f t="shared" si="11"/>
        <v>361825.82296875009</v>
      </c>
    </row>
    <row r="24" spans="1:11" ht="14.45" x14ac:dyDescent="0.35">
      <c r="A24" s="304" t="str">
        <f t="shared" si="6"/>
        <v>THRESHER</v>
      </c>
      <c r="B24" s="304"/>
      <c r="C24" s="365">
        <f t="shared" si="7"/>
        <v>360</v>
      </c>
      <c r="D24" s="365">
        <f t="shared" si="8"/>
        <v>1200</v>
      </c>
      <c r="E24" s="340">
        <f t="shared" ref="E24:K24" si="12">$C$24*$D$24*E16</f>
        <v>432000</v>
      </c>
      <c r="F24" s="340">
        <f t="shared" si="12"/>
        <v>453600</v>
      </c>
      <c r="G24" s="340">
        <f t="shared" si="12"/>
        <v>476280</v>
      </c>
      <c r="H24" s="340">
        <f t="shared" si="12"/>
        <v>500094.00000000006</v>
      </c>
      <c r="I24" s="340">
        <f t="shared" si="12"/>
        <v>525098.70000000007</v>
      </c>
      <c r="J24" s="340">
        <f t="shared" si="12"/>
        <v>551353.63500000013</v>
      </c>
      <c r="K24" s="340">
        <f t="shared" si="12"/>
        <v>578921.31675000023</v>
      </c>
    </row>
    <row r="25" spans="1:11" ht="14.45" x14ac:dyDescent="0.35">
      <c r="A25" s="304" t="str">
        <f t="shared" si="6"/>
        <v>PADDY REAPER - 5 PR 5.5 HP</v>
      </c>
      <c r="B25" s="304"/>
      <c r="C25" s="365">
        <f t="shared" si="7"/>
        <v>180</v>
      </c>
      <c r="D25" s="365">
        <f t="shared" si="8"/>
        <v>1200</v>
      </c>
      <c r="E25" s="340">
        <f t="shared" ref="E25:K25" si="13">$C$25*$D$25*E16</f>
        <v>216000</v>
      </c>
      <c r="F25" s="340">
        <f t="shared" si="13"/>
        <v>226800</v>
      </c>
      <c r="G25" s="340">
        <f t="shared" si="13"/>
        <v>238140</v>
      </c>
      <c r="H25" s="340">
        <f t="shared" si="13"/>
        <v>250047.00000000003</v>
      </c>
      <c r="I25" s="340">
        <f t="shared" si="13"/>
        <v>262549.35000000003</v>
      </c>
      <c r="J25" s="340">
        <f t="shared" si="13"/>
        <v>275676.81750000006</v>
      </c>
      <c r="K25" s="340">
        <f t="shared" si="13"/>
        <v>289460.65837500012</v>
      </c>
    </row>
    <row r="26" spans="1:11" ht="14.45" x14ac:dyDescent="0.35">
      <c r="A26" s="304" t="str">
        <f t="shared" si="6"/>
        <v>POWER TRILLER -  10 HP</v>
      </c>
      <c r="B26" s="304"/>
      <c r="C26" s="365">
        <f t="shared" si="7"/>
        <v>240</v>
      </c>
      <c r="D26" s="365">
        <f t="shared" si="8"/>
        <v>1200</v>
      </c>
      <c r="E26" s="340">
        <f t="shared" ref="E26:K26" si="14">$C$26*$D$26*E16</f>
        <v>288000</v>
      </c>
      <c r="F26" s="340">
        <f t="shared" si="14"/>
        <v>302400</v>
      </c>
      <c r="G26" s="340">
        <f t="shared" si="14"/>
        <v>317520</v>
      </c>
      <c r="H26" s="340">
        <f t="shared" si="14"/>
        <v>333396.00000000006</v>
      </c>
      <c r="I26" s="340">
        <f t="shared" si="14"/>
        <v>350065.80000000005</v>
      </c>
      <c r="J26" s="340">
        <f t="shared" si="14"/>
        <v>367569.09000000008</v>
      </c>
      <c r="K26" s="340">
        <f t="shared" si="14"/>
        <v>385947.54450000013</v>
      </c>
    </row>
    <row r="27" spans="1:11" ht="14.45" x14ac:dyDescent="0.35">
      <c r="A27" s="304" t="str">
        <f t="shared" si="6"/>
        <v>STRAW REAPER</v>
      </c>
      <c r="B27" s="304"/>
      <c r="C27" s="365">
        <f t="shared" si="7"/>
        <v>160</v>
      </c>
      <c r="D27" s="365">
        <f t="shared" si="8"/>
        <v>1200</v>
      </c>
      <c r="E27" s="340">
        <f t="shared" ref="E27:K27" si="15">$C$27*$D$27*E16</f>
        <v>192000</v>
      </c>
      <c r="F27" s="340">
        <f t="shared" si="15"/>
        <v>201600</v>
      </c>
      <c r="G27" s="340">
        <f t="shared" si="15"/>
        <v>211680</v>
      </c>
      <c r="H27" s="340">
        <f t="shared" si="15"/>
        <v>222264.00000000003</v>
      </c>
      <c r="I27" s="340">
        <f t="shared" si="15"/>
        <v>233377.20000000004</v>
      </c>
      <c r="J27" s="340">
        <f t="shared" si="15"/>
        <v>245046.06000000006</v>
      </c>
      <c r="K27" s="340">
        <f t="shared" si="15"/>
        <v>257298.36300000007</v>
      </c>
    </row>
    <row r="28" spans="1:11" ht="14.45" x14ac:dyDescent="0.35">
      <c r="A28" s="304" t="str">
        <f t="shared" si="6"/>
        <v>POST HOLE DIGGER</v>
      </c>
      <c r="B28" s="304"/>
      <c r="C28" s="365">
        <f t="shared" si="7"/>
        <v>120</v>
      </c>
      <c r="D28" s="365">
        <f t="shared" si="8"/>
        <v>1000</v>
      </c>
      <c r="E28" s="340">
        <f t="shared" ref="E28:K28" si="16">$C$28*$D$28*E16</f>
        <v>120000</v>
      </c>
      <c r="F28" s="340">
        <f t="shared" si="16"/>
        <v>126000</v>
      </c>
      <c r="G28" s="340">
        <f t="shared" si="16"/>
        <v>132300</v>
      </c>
      <c r="H28" s="340">
        <f t="shared" si="16"/>
        <v>138915.00000000003</v>
      </c>
      <c r="I28" s="340">
        <f t="shared" si="16"/>
        <v>145860.75000000003</v>
      </c>
      <c r="J28" s="340">
        <f t="shared" si="16"/>
        <v>153153.78750000003</v>
      </c>
      <c r="K28" s="340">
        <f t="shared" si="16"/>
        <v>160811.47687500005</v>
      </c>
    </row>
    <row r="29" spans="1:11" ht="14.45" x14ac:dyDescent="0.35">
      <c r="A29" s="347" t="s">
        <v>139</v>
      </c>
      <c r="B29" s="347"/>
      <c r="C29" s="366"/>
      <c r="D29" s="366"/>
      <c r="E29" s="367">
        <f>SUM(E21:E28)</f>
        <v>2058000</v>
      </c>
      <c r="F29" s="367">
        <f t="shared" ref="F29:K29" si="17">SUM(F21:F28)</f>
        <v>2160900</v>
      </c>
      <c r="G29" s="367">
        <f t="shared" si="17"/>
        <v>2268945</v>
      </c>
      <c r="H29" s="367">
        <f t="shared" si="17"/>
        <v>2382392.2500000005</v>
      </c>
      <c r="I29" s="367">
        <f t="shared" si="17"/>
        <v>2501511.8625000007</v>
      </c>
      <c r="J29" s="367">
        <f t="shared" si="17"/>
        <v>2626587.4556250009</v>
      </c>
      <c r="K29" s="367">
        <f t="shared" si="17"/>
        <v>2757916.828406251</v>
      </c>
    </row>
    <row r="30" spans="1:11" ht="14.45" x14ac:dyDescent="0.35">
      <c r="A30" s="312"/>
      <c r="B30" s="312"/>
      <c r="C30" s="360"/>
      <c r="D30" s="360"/>
      <c r="E30" s="340"/>
      <c r="F30" s="340"/>
      <c r="G30" s="340"/>
      <c r="H30" s="340"/>
      <c r="I30" s="340"/>
      <c r="J30" s="340"/>
      <c r="K30" s="340"/>
    </row>
    <row r="31" spans="1:11" ht="14.45" x14ac:dyDescent="0.35">
      <c r="A31" s="347" t="s">
        <v>138</v>
      </c>
      <c r="B31" s="347"/>
      <c r="C31" s="366"/>
      <c r="D31" s="366"/>
      <c r="E31" s="340"/>
      <c r="F31" s="340"/>
      <c r="G31" s="340"/>
      <c r="H31" s="340"/>
      <c r="I31" s="340"/>
      <c r="J31" s="340"/>
      <c r="K31" s="340"/>
    </row>
    <row r="32" spans="1:11" ht="14.45" x14ac:dyDescent="0.35">
      <c r="A32" s="347" t="s">
        <v>302</v>
      </c>
      <c r="B32" s="347"/>
      <c r="C32" s="366"/>
      <c r="D32" s="366"/>
      <c r="E32" s="340"/>
      <c r="F32" s="340"/>
      <c r="G32" s="340"/>
      <c r="H32" s="340"/>
      <c r="I32" s="340"/>
      <c r="J32" s="340"/>
      <c r="K32" s="340"/>
    </row>
    <row r="33" spans="1:11" ht="14.45" x14ac:dyDescent="0.35">
      <c r="A33" s="312" t="s">
        <v>303</v>
      </c>
      <c r="B33" s="312" t="s">
        <v>506</v>
      </c>
      <c r="C33" s="360">
        <f>SUM(J7:J12)</f>
        <v>11400</v>
      </c>
      <c r="D33" s="359">
        <v>100</v>
      </c>
      <c r="E33" s="340">
        <f t="shared" ref="E33:K33" si="18">$C$33*$D$33*E16</f>
        <v>1140000</v>
      </c>
      <c r="F33" s="340">
        <f t="shared" si="18"/>
        <v>1197000</v>
      </c>
      <c r="G33" s="340">
        <f t="shared" si="18"/>
        <v>1256850</v>
      </c>
      <c r="H33" s="340">
        <f t="shared" si="18"/>
        <v>1319692.5000000002</v>
      </c>
      <c r="I33" s="340">
        <f t="shared" si="18"/>
        <v>1385677.1250000002</v>
      </c>
      <c r="J33" s="340">
        <f t="shared" si="18"/>
        <v>1454960.9812500004</v>
      </c>
      <c r="K33" s="340">
        <f t="shared" si="18"/>
        <v>1527709.0303125004</v>
      </c>
    </row>
    <row r="34" spans="1:11" ht="14.45" x14ac:dyDescent="0.35">
      <c r="A34" s="312" t="s">
        <v>304</v>
      </c>
      <c r="B34" s="312" t="s">
        <v>1289</v>
      </c>
      <c r="C34" s="360">
        <f>SUM(M7:M12)</f>
        <v>510</v>
      </c>
      <c r="D34" s="359">
        <v>300</v>
      </c>
      <c r="E34" s="340">
        <f t="shared" ref="E34:K34" si="19">$C$34*$D$34*E16</f>
        <v>153000</v>
      </c>
      <c r="F34" s="340">
        <f t="shared" si="19"/>
        <v>160650</v>
      </c>
      <c r="G34" s="340">
        <f t="shared" si="19"/>
        <v>168682.5</v>
      </c>
      <c r="H34" s="340">
        <f t="shared" si="19"/>
        <v>177116.62500000003</v>
      </c>
      <c r="I34" s="340">
        <f t="shared" si="19"/>
        <v>185972.45625000005</v>
      </c>
      <c r="J34" s="340">
        <f t="shared" si="19"/>
        <v>195271.07906250007</v>
      </c>
      <c r="K34" s="340">
        <f t="shared" si="19"/>
        <v>205034.63301562506</v>
      </c>
    </row>
    <row r="35" spans="1:11" ht="14.45" x14ac:dyDescent="0.35">
      <c r="A35" s="312" t="s">
        <v>1288</v>
      </c>
      <c r="B35" s="312" t="s">
        <v>126</v>
      </c>
      <c r="C35" s="368"/>
      <c r="D35" s="368">
        <v>0.03</v>
      </c>
      <c r="E35" s="340">
        <f>$D$35*E29</f>
        <v>61740</v>
      </c>
      <c r="F35" s="340">
        <f t="shared" ref="F35:K35" si="20">$D$35*F29</f>
        <v>64827</v>
      </c>
      <c r="G35" s="340">
        <f t="shared" si="20"/>
        <v>68068.349999999991</v>
      </c>
      <c r="H35" s="340">
        <f t="shared" si="20"/>
        <v>71471.767500000016</v>
      </c>
      <c r="I35" s="340">
        <f t="shared" si="20"/>
        <v>75045.355875000023</v>
      </c>
      <c r="J35" s="340">
        <f t="shared" si="20"/>
        <v>78797.62366875002</v>
      </c>
      <c r="K35" s="340">
        <f t="shared" si="20"/>
        <v>82737.504852187529</v>
      </c>
    </row>
    <row r="36" spans="1:11" ht="14.45" x14ac:dyDescent="0.35">
      <c r="A36" s="312"/>
      <c r="B36" s="312"/>
      <c r="C36" s="359"/>
      <c r="D36" s="359"/>
      <c r="E36" s="340"/>
      <c r="F36" s="340"/>
      <c r="G36" s="340"/>
      <c r="H36" s="340"/>
      <c r="I36" s="340"/>
      <c r="J36" s="340"/>
      <c r="K36" s="340"/>
    </row>
    <row r="37" spans="1:11" ht="14.45" x14ac:dyDescent="0.35">
      <c r="A37" s="347" t="s">
        <v>317</v>
      </c>
      <c r="B37" s="347"/>
      <c r="C37" s="369"/>
      <c r="D37" s="369"/>
      <c r="E37" s="367">
        <f t="shared" ref="E37:K37" si="21">SUM(E33:E36)</f>
        <v>1354740</v>
      </c>
      <c r="F37" s="367">
        <f t="shared" si="21"/>
        <v>1422477</v>
      </c>
      <c r="G37" s="367">
        <f t="shared" si="21"/>
        <v>1493600.85</v>
      </c>
      <c r="H37" s="367">
        <f t="shared" si="21"/>
        <v>1568280.8925000003</v>
      </c>
      <c r="I37" s="367">
        <f t="shared" si="21"/>
        <v>1646694.9371250004</v>
      </c>
      <c r="J37" s="367">
        <f t="shared" si="21"/>
        <v>1729029.6839812505</v>
      </c>
      <c r="K37" s="367">
        <f t="shared" si="21"/>
        <v>1815481.1681803132</v>
      </c>
    </row>
    <row r="38" spans="1:11" ht="14.45" x14ac:dyDescent="0.35">
      <c r="A38" s="347"/>
      <c r="B38" s="347"/>
      <c r="C38" s="369"/>
      <c r="D38" s="369"/>
      <c r="E38" s="367"/>
      <c r="F38" s="367"/>
      <c r="G38" s="367"/>
      <c r="H38" s="367"/>
      <c r="I38" s="367"/>
      <c r="J38" s="367"/>
      <c r="K38" s="367"/>
    </row>
    <row r="39" spans="1:11" ht="14.45" x14ac:dyDescent="0.35">
      <c r="A39" s="199" t="s">
        <v>305</v>
      </c>
      <c r="B39" s="199"/>
      <c r="C39" s="370"/>
      <c r="D39" s="370"/>
      <c r="E39" s="340"/>
      <c r="F39" s="340"/>
      <c r="G39" s="340"/>
      <c r="H39" s="340"/>
      <c r="I39" s="340"/>
      <c r="J39" s="340"/>
      <c r="K39" s="340"/>
    </row>
    <row r="40" spans="1:11" ht="14.45" x14ac:dyDescent="0.35">
      <c r="A40" s="304" t="s">
        <v>306</v>
      </c>
      <c r="B40" s="312" t="s">
        <v>383</v>
      </c>
      <c r="C40" s="370">
        <v>1</v>
      </c>
      <c r="D40" s="371">
        <v>15000</v>
      </c>
      <c r="E40" s="340">
        <f t="shared" ref="E40:K40" si="22">$C$40*$D$40*12*E16</f>
        <v>180000</v>
      </c>
      <c r="F40" s="340">
        <f t="shared" si="22"/>
        <v>189000</v>
      </c>
      <c r="G40" s="340">
        <f t="shared" si="22"/>
        <v>198450</v>
      </c>
      <c r="H40" s="340">
        <f t="shared" si="22"/>
        <v>208372.50000000003</v>
      </c>
      <c r="I40" s="340">
        <f t="shared" si="22"/>
        <v>218791.12500000003</v>
      </c>
      <c r="J40" s="340">
        <f t="shared" si="22"/>
        <v>229730.68125000005</v>
      </c>
      <c r="K40" s="340">
        <f t="shared" si="22"/>
        <v>241217.21531250008</v>
      </c>
    </row>
    <row r="41" spans="1:11" ht="14.45" x14ac:dyDescent="0.35">
      <c r="A41" s="304"/>
      <c r="B41" s="304"/>
      <c r="C41" s="370"/>
      <c r="D41" s="371"/>
      <c r="E41" s="340"/>
      <c r="F41" s="340"/>
      <c r="G41" s="340"/>
      <c r="H41" s="340"/>
      <c r="I41" s="340"/>
      <c r="J41" s="340"/>
      <c r="K41" s="340"/>
    </row>
    <row r="42" spans="1:11" ht="14.45" x14ac:dyDescent="0.35">
      <c r="A42" s="304"/>
      <c r="B42" s="304"/>
      <c r="C42" s="370"/>
      <c r="D42" s="371"/>
      <c r="E42" s="340"/>
      <c r="F42" s="340"/>
      <c r="G42" s="340"/>
      <c r="H42" s="340"/>
      <c r="I42" s="340"/>
      <c r="J42" s="340"/>
      <c r="K42" s="340"/>
    </row>
    <row r="43" spans="1:11" ht="14.45" x14ac:dyDescent="0.35">
      <c r="A43" s="304"/>
      <c r="B43" s="304"/>
      <c r="C43" s="370"/>
      <c r="D43" s="371"/>
      <c r="E43" s="340"/>
      <c r="F43" s="340"/>
      <c r="G43" s="340"/>
      <c r="H43" s="340"/>
      <c r="I43" s="340"/>
      <c r="J43" s="340"/>
      <c r="K43" s="340"/>
    </row>
    <row r="44" spans="1:11" ht="14.45" x14ac:dyDescent="0.35">
      <c r="A44" s="347" t="s">
        <v>321</v>
      </c>
      <c r="B44" s="347"/>
      <c r="C44" s="347"/>
      <c r="D44" s="347"/>
      <c r="E44" s="367">
        <f>SUM(E40:E43)</f>
        <v>180000</v>
      </c>
      <c r="F44" s="367">
        <f t="shared" ref="F44:K44" si="23">SUM(F40:F43)</f>
        <v>189000</v>
      </c>
      <c r="G44" s="367">
        <f t="shared" si="23"/>
        <v>198450</v>
      </c>
      <c r="H44" s="367">
        <f t="shared" si="23"/>
        <v>208372.50000000003</v>
      </c>
      <c r="I44" s="367">
        <f t="shared" si="23"/>
        <v>218791.12500000003</v>
      </c>
      <c r="J44" s="367">
        <f t="shared" si="23"/>
        <v>229730.68125000005</v>
      </c>
      <c r="K44" s="367">
        <f t="shared" si="23"/>
        <v>241217.21531250008</v>
      </c>
    </row>
    <row r="45" spans="1:11" ht="14.45" x14ac:dyDescent="0.35">
      <c r="A45" s="347" t="s">
        <v>128</v>
      </c>
      <c r="B45" s="347"/>
      <c r="C45" s="347"/>
      <c r="D45" s="347"/>
      <c r="E45" s="367">
        <f>E37+E44</f>
        <v>1534740</v>
      </c>
      <c r="F45" s="367">
        <f t="shared" ref="F45:K45" si="24">F37+F44</f>
        <v>1611477</v>
      </c>
      <c r="G45" s="367">
        <f t="shared" si="24"/>
        <v>1692050.85</v>
      </c>
      <c r="H45" s="367">
        <f t="shared" si="24"/>
        <v>1776653.3925000003</v>
      </c>
      <c r="I45" s="367">
        <f t="shared" si="24"/>
        <v>1865486.0621250004</v>
      </c>
      <c r="J45" s="367">
        <f t="shared" si="24"/>
        <v>1958760.3652312506</v>
      </c>
      <c r="K45" s="367">
        <f t="shared" si="24"/>
        <v>2056698.3834928132</v>
      </c>
    </row>
    <row r="46" spans="1:11" ht="14.45" x14ac:dyDescent="0.35">
      <c r="A46" s="312"/>
      <c r="B46" s="312"/>
      <c r="C46" s="312"/>
      <c r="D46" s="312"/>
      <c r="E46" s="340"/>
      <c r="F46" s="340"/>
      <c r="G46" s="340"/>
      <c r="H46" s="340"/>
      <c r="I46" s="340"/>
      <c r="J46" s="340"/>
      <c r="K46" s="340"/>
    </row>
    <row r="47" spans="1:11" ht="14.45" x14ac:dyDescent="0.35">
      <c r="A47" s="347" t="s">
        <v>308</v>
      </c>
      <c r="B47" s="347"/>
      <c r="C47" s="347"/>
      <c r="D47" s="347"/>
      <c r="E47" s="367">
        <f t="shared" ref="E47:K47" si="25">E29-E45</f>
        <v>523260</v>
      </c>
      <c r="F47" s="367">
        <f t="shared" si="25"/>
        <v>549423</v>
      </c>
      <c r="G47" s="367">
        <f t="shared" si="25"/>
        <v>576894.14999999991</v>
      </c>
      <c r="H47" s="367">
        <f t="shared" si="25"/>
        <v>605738.85750000016</v>
      </c>
      <c r="I47" s="367">
        <f t="shared" si="25"/>
        <v>636025.80037500034</v>
      </c>
      <c r="J47" s="367">
        <f t="shared" si="25"/>
        <v>667827.09039375023</v>
      </c>
      <c r="K47" s="367">
        <f t="shared" si="25"/>
        <v>701218.44491343782</v>
      </c>
    </row>
    <row r="48" spans="1:11" ht="14.45" x14ac:dyDescent="0.35">
      <c r="A48" s="372"/>
      <c r="B48" s="372"/>
      <c r="C48" s="372"/>
      <c r="D48" s="372"/>
      <c r="E48" s="373"/>
      <c r="F48" s="373"/>
      <c r="G48" s="373"/>
      <c r="H48" s="373"/>
      <c r="I48" s="373"/>
      <c r="J48" s="373"/>
      <c r="K48" s="373"/>
    </row>
    <row r="49" spans="1:12" ht="14.45" x14ac:dyDescent="0.35">
      <c r="C49" s="372"/>
      <c r="D49" s="372"/>
      <c r="E49" s="374">
        <f>E47/E29</f>
        <v>0.25425655976676387</v>
      </c>
      <c r="F49" s="374">
        <f t="shared" ref="F49:K49" si="26">F47/F29</f>
        <v>0.25425655976676387</v>
      </c>
      <c r="G49" s="374">
        <f t="shared" si="26"/>
        <v>0.25425655976676381</v>
      </c>
      <c r="H49" s="374">
        <f t="shared" si="26"/>
        <v>0.25425655976676387</v>
      </c>
      <c r="I49" s="374">
        <f t="shared" si="26"/>
        <v>0.25425655976676392</v>
      </c>
      <c r="J49" s="374">
        <f t="shared" si="26"/>
        <v>0.25425655976676387</v>
      </c>
      <c r="K49" s="374">
        <f t="shared" si="26"/>
        <v>0.25425655976676387</v>
      </c>
    </row>
    <row r="50" spans="1:12" x14ac:dyDescent="0.25">
      <c r="A50" s="565" t="s">
        <v>413</v>
      </c>
      <c r="B50" s="565"/>
      <c r="C50" s="565"/>
      <c r="D50" s="565"/>
      <c r="E50" s="565"/>
      <c r="F50" s="565"/>
      <c r="G50" s="565"/>
      <c r="H50" s="565"/>
      <c r="I50" s="565"/>
      <c r="J50" s="565"/>
      <c r="K50" s="565"/>
      <c r="L50" s="565"/>
    </row>
    <row r="53" spans="1:12" x14ac:dyDescent="0.25">
      <c r="A53" s="192" t="s">
        <v>518</v>
      </c>
    </row>
    <row r="54" spans="1:12" x14ac:dyDescent="0.25">
      <c r="A54" s="192">
        <v>1</v>
      </c>
      <c r="B54" s="192" t="s">
        <v>531</v>
      </c>
    </row>
    <row r="55" spans="1:12" x14ac:dyDescent="0.25">
      <c r="A55" s="192">
        <v>2</v>
      </c>
      <c r="B55" s="192" t="s">
        <v>532</v>
      </c>
    </row>
    <row r="56" spans="1:12" x14ac:dyDescent="0.25">
      <c r="A56" s="192">
        <v>3</v>
      </c>
      <c r="B56" s="192" t="s">
        <v>581</v>
      </c>
    </row>
  </sheetData>
  <mergeCells count="4">
    <mergeCell ref="A14:K14"/>
    <mergeCell ref="A1:L1"/>
    <mergeCell ref="A50:L50"/>
    <mergeCell ref="A2:L2"/>
  </mergeCells>
  <pageMargins left="0.70866141732283472" right="0.70866141732283472" top="0.15748031496062992" bottom="0.16" header="0.15748031496062992" footer="0.15748031496062992"/>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130" zoomScaleSheetLayoutView="130" workbookViewId="0"/>
  </sheetViews>
  <sheetFormatPr defaultColWidth="8.7109375" defaultRowHeight="15" x14ac:dyDescent="0.25"/>
  <cols>
    <col min="1" max="1" width="41.140625" style="1" bestFit="1" customWidth="1"/>
    <col min="2" max="2" width="4.42578125" style="1" bestFit="1" customWidth="1"/>
    <col min="3" max="3" width="10.5703125" style="1" bestFit="1" customWidth="1"/>
    <col min="4" max="4" width="13.42578125" style="1" bestFit="1" customWidth="1"/>
    <col min="5" max="5" width="19.42578125" style="1" bestFit="1" customWidth="1"/>
    <col min="6" max="6" width="14.7109375" style="1" customWidth="1"/>
    <col min="7" max="10" width="14.7109375" style="1" bestFit="1" customWidth="1"/>
    <col min="11" max="11" width="8.7109375" style="1"/>
    <col min="12" max="12" width="27.140625" style="1" bestFit="1" customWidth="1"/>
    <col min="13" max="17" width="8.7109375" style="1"/>
    <col min="18" max="20" width="9.42578125" style="1" bestFit="1" customWidth="1"/>
    <col min="21" max="21" width="8.7109375" style="1"/>
    <col min="22" max="22" width="9.42578125" style="1" bestFit="1" customWidth="1"/>
    <col min="23" max="16384" width="8.7109375" style="1"/>
  </cols>
  <sheetData>
    <row r="2" spans="1:9" ht="14.45" x14ac:dyDescent="0.35">
      <c r="A2" s="625" t="s">
        <v>574</v>
      </c>
      <c r="B2" s="625"/>
      <c r="C2" s="625"/>
      <c r="D2" s="625"/>
      <c r="E2" s="625"/>
      <c r="F2" s="625"/>
      <c r="G2" s="625"/>
      <c r="H2" s="625"/>
      <c r="I2" s="625"/>
    </row>
    <row r="6" spans="1:9" ht="14.45" x14ac:dyDescent="0.35">
      <c r="A6" s="28" t="s">
        <v>127</v>
      </c>
      <c r="B6" s="28"/>
      <c r="C6" s="29" t="s">
        <v>2</v>
      </c>
      <c r="D6" s="29" t="s">
        <v>3</v>
      </c>
      <c r="E6" s="29" t="s">
        <v>4</v>
      </c>
      <c r="F6" s="29" t="s">
        <v>5</v>
      </c>
      <c r="G6" s="29" t="s">
        <v>6</v>
      </c>
      <c r="H6" s="29" t="s">
        <v>165</v>
      </c>
      <c r="I6" s="29" t="s">
        <v>164</v>
      </c>
    </row>
    <row r="7" spans="1:9" ht="14.45" x14ac:dyDescent="0.35">
      <c r="A7" s="38" t="s">
        <v>534</v>
      </c>
      <c r="B7" s="17"/>
      <c r="C7" s="17"/>
      <c r="D7" s="17"/>
      <c r="E7" s="17"/>
      <c r="F7" s="17"/>
      <c r="G7" s="17"/>
      <c r="H7" s="17"/>
      <c r="I7" s="17"/>
    </row>
    <row r="8" spans="1:9" ht="14.45" x14ac:dyDescent="0.35">
      <c r="A8" s="38" t="s">
        <v>174</v>
      </c>
      <c r="B8" s="39"/>
      <c r="C8" s="40"/>
      <c r="D8" s="40"/>
      <c r="E8" s="40"/>
      <c r="F8" s="40"/>
      <c r="G8" s="40"/>
      <c r="H8" s="40"/>
      <c r="I8" s="40"/>
    </row>
    <row r="9" spans="1:9" ht="14.45" x14ac:dyDescent="0.35">
      <c r="A9" s="17" t="str">
        <f>Grain!A99</f>
        <v>Soybean</v>
      </c>
      <c r="B9" s="39"/>
      <c r="C9" s="40">
        <v>0</v>
      </c>
      <c r="D9" s="40">
        <v>0</v>
      </c>
      <c r="E9" s="40">
        <v>0</v>
      </c>
      <c r="F9" s="40">
        <v>0</v>
      </c>
      <c r="G9" s="40">
        <v>0</v>
      </c>
      <c r="H9" s="40">
        <v>0</v>
      </c>
      <c r="I9" s="40">
        <v>0</v>
      </c>
    </row>
    <row r="10" spans="1:9" ht="14.45" x14ac:dyDescent="0.35">
      <c r="A10" s="17" t="str">
        <f>Grain!A100</f>
        <v>Red Gram/Tur</v>
      </c>
      <c r="B10" s="39"/>
      <c r="C10" s="40">
        <v>0</v>
      </c>
      <c r="D10" s="40">
        <v>0</v>
      </c>
      <c r="E10" s="40">
        <v>0</v>
      </c>
      <c r="F10" s="40">
        <v>0</v>
      </c>
      <c r="G10" s="40">
        <v>0</v>
      </c>
      <c r="H10" s="40">
        <v>0</v>
      </c>
      <c r="I10" s="40">
        <v>0</v>
      </c>
    </row>
    <row r="11" spans="1:9" ht="14.45" x14ac:dyDescent="0.35">
      <c r="A11" s="17" t="str">
        <f>Grain!A101</f>
        <v>Paddy/Rice</v>
      </c>
      <c r="B11" s="39"/>
      <c r="C11" s="40">
        <v>0</v>
      </c>
      <c r="D11" s="40">
        <v>0</v>
      </c>
      <c r="E11" s="40">
        <v>0</v>
      </c>
      <c r="F11" s="40">
        <v>0</v>
      </c>
      <c r="G11" s="40">
        <v>0</v>
      </c>
      <c r="H11" s="40">
        <v>0</v>
      </c>
      <c r="I11" s="40">
        <v>0</v>
      </c>
    </row>
    <row r="12" spans="1:9" ht="14.45" x14ac:dyDescent="0.35">
      <c r="A12" s="17" t="str">
        <f>Grain!A102</f>
        <v>Masoor/ Moong</v>
      </c>
      <c r="B12" s="39"/>
      <c r="C12" s="40">
        <v>0</v>
      </c>
      <c r="D12" s="40">
        <v>0</v>
      </c>
      <c r="E12" s="40">
        <v>0</v>
      </c>
      <c r="F12" s="40">
        <v>0</v>
      </c>
      <c r="G12" s="40">
        <v>0</v>
      </c>
      <c r="H12" s="40">
        <v>0</v>
      </c>
      <c r="I12" s="40">
        <v>0</v>
      </c>
    </row>
    <row r="13" spans="1:9" ht="14.45" x14ac:dyDescent="0.35">
      <c r="A13" s="17" t="str">
        <f>Grain!A103</f>
        <v>Sweet Potato</v>
      </c>
      <c r="B13" s="39"/>
      <c r="C13" s="40">
        <v>0</v>
      </c>
      <c r="D13" s="40">
        <v>0</v>
      </c>
      <c r="E13" s="40">
        <v>0</v>
      </c>
      <c r="F13" s="40">
        <v>0</v>
      </c>
      <c r="G13" s="40">
        <v>0</v>
      </c>
      <c r="H13" s="40">
        <v>0</v>
      </c>
      <c r="I13" s="40">
        <v>0</v>
      </c>
    </row>
    <row r="14" spans="1:9" ht="14.45" x14ac:dyDescent="0.35">
      <c r="A14" s="17" t="str">
        <f>Grain!A104</f>
        <v>Black Gram/Udid</v>
      </c>
      <c r="B14" s="39"/>
      <c r="C14" s="40">
        <v>0</v>
      </c>
      <c r="D14" s="40">
        <v>0</v>
      </c>
      <c r="E14" s="40">
        <v>0</v>
      </c>
      <c r="F14" s="40">
        <v>0</v>
      </c>
      <c r="G14" s="40">
        <v>0</v>
      </c>
      <c r="H14" s="40">
        <v>0</v>
      </c>
      <c r="I14" s="40">
        <v>0</v>
      </c>
    </row>
    <row r="15" spans="1:9" ht="14.45" x14ac:dyDescent="0.35">
      <c r="A15" s="17" t="str">
        <f>Grain!A105</f>
        <v>RAGI</v>
      </c>
      <c r="B15" s="39"/>
      <c r="C15" s="40">
        <v>0</v>
      </c>
      <c r="D15" s="40">
        <v>0</v>
      </c>
      <c r="E15" s="40">
        <v>0</v>
      </c>
      <c r="F15" s="40">
        <v>0</v>
      </c>
      <c r="G15" s="40">
        <v>0</v>
      </c>
      <c r="H15" s="40">
        <v>0</v>
      </c>
      <c r="I15" s="40">
        <v>0</v>
      </c>
    </row>
    <row r="16" spans="1:9" ht="14.45" x14ac:dyDescent="0.35">
      <c r="A16" s="17" t="str">
        <f>Grain!A106</f>
        <v>Jawar</v>
      </c>
      <c r="B16" s="39"/>
      <c r="C16" s="40">
        <v>0</v>
      </c>
      <c r="D16" s="40">
        <v>0</v>
      </c>
      <c r="E16" s="40">
        <v>0</v>
      </c>
      <c r="F16" s="40">
        <v>0</v>
      </c>
      <c r="G16" s="40">
        <v>0</v>
      </c>
      <c r="H16" s="40">
        <v>0</v>
      </c>
      <c r="I16" s="40">
        <v>0</v>
      </c>
    </row>
    <row r="17" spans="1:9" ht="14.45" x14ac:dyDescent="0.35">
      <c r="A17" s="38" t="s">
        <v>178</v>
      </c>
      <c r="B17" s="39"/>
      <c r="C17" s="40">
        <v>0</v>
      </c>
      <c r="D17" s="40">
        <v>0</v>
      </c>
      <c r="E17" s="40">
        <v>0</v>
      </c>
      <c r="F17" s="40">
        <v>0</v>
      </c>
      <c r="G17" s="40">
        <v>0</v>
      </c>
      <c r="H17" s="40">
        <v>0</v>
      </c>
      <c r="I17" s="40">
        <v>0</v>
      </c>
    </row>
    <row r="18" spans="1:9" ht="14.45" x14ac:dyDescent="0.35">
      <c r="A18" s="17" t="str">
        <f>Grain!A108</f>
        <v>Wheat</v>
      </c>
      <c r="B18" s="39"/>
      <c r="C18" s="40">
        <v>0</v>
      </c>
      <c r="D18" s="40">
        <v>0</v>
      </c>
      <c r="E18" s="40">
        <v>0</v>
      </c>
      <c r="F18" s="40">
        <v>0</v>
      </c>
      <c r="G18" s="40">
        <v>0</v>
      </c>
      <c r="H18" s="40">
        <v>0</v>
      </c>
      <c r="I18" s="40">
        <v>0</v>
      </c>
    </row>
    <row r="19" spans="1:9" ht="14.45" x14ac:dyDescent="0.35">
      <c r="A19" s="17" t="str">
        <f>Grain!A109</f>
        <v>Bengal Gram/Channa</v>
      </c>
      <c r="B19" s="39"/>
      <c r="C19" s="40">
        <v>0</v>
      </c>
      <c r="D19" s="40">
        <v>0</v>
      </c>
      <c r="E19" s="40">
        <v>0</v>
      </c>
      <c r="F19" s="40">
        <v>0</v>
      </c>
      <c r="G19" s="40">
        <v>0</v>
      </c>
      <c r="H19" s="40">
        <v>0</v>
      </c>
      <c r="I19" s="40">
        <v>0</v>
      </c>
    </row>
    <row r="20" spans="1:9" x14ac:dyDescent="0.25">
      <c r="A20" s="17" t="str">
        <f>Grain!A110</f>
        <v>Jawar</v>
      </c>
      <c r="B20" s="39"/>
      <c r="C20" s="40">
        <v>0</v>
      </c>
      <c r="D20" s="40">
        <v>0</v>
      </c>
      <c r="E20" s="40">
        <v>0</v>
      </c>
      <c r="F20" s="40">
        <v>0</v>
      </c>
      <c r="G20" s="40">
        <v>0</v>
      </c>
      <c r="H20" s="40">
        <v>0</v>
      </c>
      <c r="I20" s="40">
        <v>0</v>
      </c>
    </row>
    <row r="21" spans="1:9" x14ac:dyDescent="0.25">
      <c r="A21" s="17" t="str">
        <f>Grain!A111</f>
        <v>Sweet Potato</v>
      </c>
      <c r="B21" s="39"/>
      <c r="C21" s="40">
        <v>0</v>
      </c>
      <c r="D21" s="40">
        <v>0</v>
      </c>
      <c r="E21" s="40">
        <v>0</v>
      </c>
      <c r="F21" s="40">
        <v>0</v>
      </c>
      <c r="G21" s="40">
        <v>0</v>
      </c>
      <c r="H21" s="40">
        <v>0</v>
      </c>
      <c r="I21" s="40">
        <v>0</v>
      </c>
    </row>
    <row r="22" spans="1:9" x14ac:dyDescent="0.25">
      <c r="A22" s="17" t="str">
        <f>Grain!A112</f>
        <v>Safflower</v>
      </c>
      <c r="B22" s="39"/>
      <c r="C22" s="40">
        <v>0</v>
      </c>
      <c r="D22" s="40">
        <v>0</v>
      </c>
      <c r="E22" s="40">
        <v>0</v>
      </c>
      <c r="F22" s="40">
        <v>0</v>
      </c>
      <c r="G22" s="40">
        <v>0</v>
      </c>
      <c r="H22" s="40">
        <v>0</v>
      </c>
      <c r="I22" s="40">
        <v>0</v>
      </c>
    </row>
    <row r="23" spans="1:9" x14ac:dyDescent="0.25">
      <c r="A23" s="17">
        <f>Grain!A113</f>
        <v>0</v>
      </c>
      <c r="B23" s="39"/>
      <c r="C23" s="40">
        <v>0</v>
      </c>
      <c r="D23" s="40">
        <v>0</v>
      </c>
      <c r="E23" s="40">
        <v>0</v>
      </c>
      <c r="F23" s="40">
        <v>0</v>
      </c>
      <c r="G23" s="40">
        <v>0</v>
      </c>
      <c r="H23" s="40">
        <v>0</v>
      </c>
      <c r="I23" s="40">
        <v>0</v>
      </c>
    </row>
    <row r="24" spans="1:9" x14ac:dyDescent="0.25">
      <c r="A24" s="17">
        <f>Grain!A114</f>
        <v>0</v>
      </c>
      <c r="B24" s="39"/>
      <c r="C24" s="40">
        <v>0</v>
      </c>
      <c r="D24" s="40">
        <v>0</v>
      </c>
      <c r="E24" s="40">
        <v>0</v>
      </c>
      <c r="F24" s="40">
        <v>0</v>
      </c>
      <c r="G24" s="40">
        <v>0</v>
      </c>
      <c r="H24" s="40">
        <v>0</v>
      </c>
      <c r="I24" s="40">
        <v>0</v>
      </c>
    </row>
    <row r="25" spans="1:9" x14ac:dyDescent="0.25">
      <c r="A25" s="17">
        <f>Grain!A115</f>
        <v>0</v>
      </c>
      <c r="B25" s="39"/>
      <c r="C25" s="40">
        <v>0</v>
      </c>
      <c r="D25" s="40">
        <v>0</v>
      </c>
      <c r="E25" s="40">
        <v>0</v>
      </c>
      <c r="F25" s="40">
        <v>0</v>
      </c>
      <c r="G25" s="40">
        <v>0</v>
      </c>
      <c r="H25" s="40">
        <v>0</v>
      </c>
      <c r="I25" s="40">
        <v>0</v>
      </c>
    </row>
    <row r="26" spans="1:9" x14ac:dyDescent="0.25">
      <c r="A26" s="38" t="str">
        <f>Grain!A34</f>
        <v>Summer</v>
      </c>
      <c r="B26" s="39"/>
      <c r="C26" s="40">
        <v>0</v>
      </c>
      <c r="D26" s="40">
        <v>0</v>
      </c>
      <c r="E26" s="40">
        <v>0</v>
      </c>
      <c r="F26" s="40">
        <v>0</v>
      </c>
      <c r="G26" s="40">
        <v>0</v>
      </c>
      <c r="H26" s="40">
        <v>0</v>
      </c>
      <c r="I26" s="40">
        <v>0</v>
      </c>
    </row>
    <row r="27" spans="1:9" x14ac:dyDescent="0.25">
      <c r="A27" s="17" t="str">
        <f>Grain!A116</f>
        <v>Groundnut</v>
      </c>
      <c r="B27" s="39"/>
      <c r="C27" s="40">
        <v>0</v>
      </c>
      <c r="D27" s="40">
        <v>0</v>
      </c>
      <c r="E27" s="40">
        <v>0</v>
      </c>
      <c r="F27" s="40">
        <v>0</v>
      </c>
      <c r="G27" s="40">
        <v>0</v>
      </c>
      <c r="H27" s="40">
        <v>0</v>
      </c>
      <c r="I27" s="40">
        <v>0</v>
      </c>
    </row>
    <row r="28" spans="1:9" x14ac:dyDescent="0.25">
      <c r="A28" s="17" t="str">
        <f>Grain!A117</f>
        <v>RAGI</v>
      </c>
      <c r="B28" s="39"/>
      <c r="C28" s="40">
        <v>0</v>
      </c>
      <c r="D28" s="40">
        <v>0</v>
      </c>
      <c r="E28" s="40">
        <v>0</v>
      </c>
      <c r="F28" s="40">
        <v>0</v>
      </c>
      <c r="G28" s="40">
        <v>0</v>
      </c>
      <c r="H28" s="40">
        <v>0</v>
      </c>
      <c r="I28" s="40">
        <v>0</v>
      </c>
    </row>
    <row r="29" spans="1:9" x14ac:dyDescent="0.25">
      <c r="A29" s="17">
        <f>Grain!A118</f>
        <v>0</v>
      </c>
      <c r="B29" s="39"/>
      <c r="C29" s="40">
        <v>0</v>
      </c>
      <c r="D29" s="40">
        <v>0</v>
      </c>
      <c r="E29" s="40">
        <v>0</v>
      </c>
      <c r="F29" s="40">
        <v>0</v>
      </c>
      <c r="G29" s="40">
        <v>0</v>
      </c>
      <c r="H29" s="40">
        <v>0</v>
      </c>
      <c r="I29" s="40">
        <v>0</v>
      </c>
    </row>
    <row r="30" spans="1:9" x14ac:dyDescent="0.25">
      <c r="A30" s="17">
        <f>Grain!A119</f>
        <v>0</v>
      </c>
      <c r="B30" s="39"/>
      <c r="C30" s="40">
        <v>0</v>
      </c>
      <c r="D30" s="40">
        <v>0</v>
      </c>
      <c r="E30" s="40">
        <v>0</v>
      </c>
      <c r="F30" s="40">
        <v>0</v>
      </c>
      <c r="G30" s="40">
        <v>0</v>
      </c>
      <c r="H30" s="40">
        <v>0</v>
      </c>
      <c r="I30" s="40">
        <v>0</v>
      </c>
    </row>
    <row r="31" spans="1:9" x14ac:dyDescent="0.25">
      <c r="A31" s="17">
        <f>Grain!A120</f>
        <v>0</v>
      </c>
      <c r="B31" s="39"/>
      <c r="C31" s="40">
        <v>0</v>
      </c>
      <c r="D31" s="40">
        <v>0</v>
      </c>
      <c r="E31" s="40">
        <v>0</v>
      </c>
      <c r="F31" s="40">
        <v>0</v>
      </c>
      <c r="G31" s="40">
        <v>0</v>
      </c>
      <c r="H31" s="40">
        <v>0</v>
      </c>
      <c r="I31" s="40">
        <v>0</v>
      </c>
    </row>
    <row r="32" spans="1:9" x14ac:dyDescent="0.25">
      <c r="A32" s="38" t="str">
        <f>'F&amp;V '!A1:H1</f>
        <v>Fruit  &amp; Vegetables Crop Production Details</v>
      </c>
      <c r="B32" s="39"/>
      <c r="C32" s="40">
        <v>0</v>
      </c>
      <c r="D32" s="40">
        <v>0</v>
      </c>
      <c r="E32" s="40">
        <v>0</v>
      </c>
      <c r="F32" s="40">
        <v>0</v>
      </c>
      <c r="G32" s="40">
        <v>0</v>
      </c>
      <c r="H32" s="40">
        <v>0</v>
      </c>
      <c r="I32" s="40">
        <v>0</v>
      </c>
    </row>
    <row r="33" spans="1:9" x14ac:dyDescent="0.25">
      <c r="A33" s="17" t="str">
        <f>'F&amp;V '!A102</f>
        <v>Onion</v>
      </c>
      <c r="B33" s="39"/>
      <c r="C33" s="40">
        <v>0</v>
      </c>
      <c r="D33" s="40">
        <v>0</v>
      </c>
      <c r="E33" s="40">
        <v>0</v>
      </c>
      <c r="F33" s="40">
        <v>0</v>
      </c>
      <c r="G33" s="40">
        <v>0</v>
      </c>
      <c r="H33" s="40">
        <v>0</v>
      </c>
      <c r="I33" s="40">
        <v>0</v>
      </c>
    </row>
    <row r="34" spans="1:9" x14ac:dyDescent="0.25">
      <c r="A34" s="17" t="str">
        <f>'F&amp;V '!A103</f>
        <v>Tomato</v>
      </c>
      <c r="B34" s="39"/>
      <c r="C34" s="40">
        <v>0</v>
      </c>
      <c r="D34" s="40">
        <v>0</v>
      </c>
      <c r="E34" s="40">
        <v>0</v>
      </c>
      <c r="F34" s="40">
        <v>0</v>
      </c>
      <c r="G34" s="40">
        <v>0</v>
      </c>
      <c r="H34" s="40">
        <v>0</v>
      </c>
      <c r="I34" s="40">
        <v>0</v>
      </c>
    </row>
    <row r="35" spans="1:9" x14ac:dyDescent="0.25">
      <c r="A35" s="17" t="str">
        <f>'F&amp;V '!A104</f>
        <v>Okra</v>
      </c>
      <c r="B35" s="39"/>
      <c r="C35" s="40">
        <v>0</v>
      </c>
      <c r="D35" s="40">
        <v>0</v>
      </c>
      <c r="E35" s="40">
        <v>0</v>
      </c>
      <c r="F35" s="40">
        <v>0</v>
      </c>
      <c r="G35" s="40">
        <v>0</v>
      </c>
      <c r="H35" s="40">
        <v>0</v>
      </c>
      <c r="I35" s="40">
        <v>0</v>
      </c>
    </row>
    <row r="36" spans="1:9" x14ac:dyDescent="0.25">
      <c r="A36" s="17" t="str">
        <f>'F&amp;V '!A105</f>
        <v>Chilli</v>
      </c>
      <c r="B36" s="39"/>
      <c r="C36" s="40">
        <v>0</v>
      </c>
      <c r="D36" s="40">
        <v>0</v>
      </c>
      <c r="E36" s="40">
        <v>0</v>
      </c>
      <c r="F36" s="40">
        <v>0</v>
      </c>
      <c r="G36" s="40">
        <v>0</v>
      </c>
      <c r="H36" s="40">
        <v>0</v>
      </c>
      <c r="I36" s="40">
        <v>0</v>
      </c>
    </row>
    <row r="37" spans="1:9" x14ac:dyDescent="0.25">
      <c r="A37" s="17" t="str">
        <f>'F&amp;V '!A106</f>
        <v>Potato</v>
      </c>
      <c r="B37" s="39"/>
      <c r="C37" s="40">
        <v>0</v>
      </c>
      <c r="D37" s="40">
        <v>0</v>
      </c>
      <c r="E37" s="40">
        <v>0</v>
      </c>
      <c r="F37" s="40">
        <v>0</v>
      </c>
      <c r="G37" s="40">
        <v>0</v>
      </c>
      <c r="H37" s="40">
        <v>0</v>
      </c>
      <c r="I37" s="40">
        <v>0</v>
      </c>
    </row>
    <row r="38" spans="1:9" x14ac:dyDescent="0.25">
      <c r="A38" s="17" t="str">
        <f>'F&amp;V '!A107</f>
        <v>SWEET POTATO</v>
      </c>
      <c r="B38" s="39"/>
      <c r="C38" s="40">
        <v>0</v>
      </c>
      <c r="D38" s="40">
        <v>0</v>
      </c>
      <c r="E38" s="40">
        <v>0</v>
      </c>
      <c r="F38" s="40">
        <v>0</v>
      </c>
      <c r="G38" s="40">
        <v>0</v>
      </c>
      <c r="H38" s="40">
        <v>0</v>
      </c>
      <c r="I38" s="40">
        <v>0</v>
      </c>
    </row>
    <row r="39" spans="1:9" x14ac:dyDescent="0.25">
      <c r="A39" s="17">
        <f>'F&amp;V '!A108</f>
        <v>0</v>
      </c>
      <c r="B39" s="39"/>
      <c r="C39" s="40">
        <v>0</v>
      </c>
      <c r="D39" s="40">
        <v>0</v>
      </c>
      <c r="E39" s="40">
        <v>0</v>
      </c>
      <c r="F39" s="40">
        <v>0</v>
      </c>
      <c r="G39" s="40">
        <v>0</v>
      </c>
      <c r="H39" s="40">
        <v>0</v>
      </c>
      <c r="I39" s="40">
        <v>0</v>
      </c>
    </row>
    <row r="40" spans="1:9" x14ac:dyDescent="0.25">
      <c r="A40" s="17">
        <f>'F&amp;V '!A109</f>
        <v>0</v>
      </c>
      <c r="B40" s="39"/>
      <c r="C40" s="40">
        <v>0</v>
      </c>
      <c r="D40" s="40">
        <v>0</v>
      </c>
      <c r="E40" s="40">
        <v>0</v>
      </c>
      <c r="F40" s="40">
        <v>0</v>
      </c>
      <c r="G40" s="40">
        <v>0</v>
      </c>
      <c r="H40" s="40">
        <v>0</v>
      </c>
      <c r="I40" s="40">
        <v>0</v>
      </c>
    </row>
    <row r="41" spans="1:9" x14ac:dyDescent="0.25">
      <c r="A41" s="17">
        <f>'F&amp;V '!A110</f>
        <v>0</v>
      </c>
      <c r="B41" s="39"/>
      <c r="C41" s="40">
        <v>0</v>
      </c>
      <c r="D41" s="40">
        <v>0</v>
      </c>
      <c r="E41" s="40">
        <v>0</v>
      </c>
      <c r="F41" s="40">
        <v>0</v>
      </c>
      <c r="G41" s="40">
        <v>0</v>
      </c>
      <c r="H41" s="40">
        <v>0</v>
      </c>
      <c r="I41" s="40">
        <v>0</v>
      </c>
    </row>
    <row r="42" spans="1:9" x14ac:dyDescent="0.25">
      <c r="A42" s="17" t="str">
        <f>'F&amp;V '!A111</f>
        <v>Onion</v>
      </c>
      <c r="B42" s="39"/>
      <c r="C42" s="40">
        <v>0</v>
      </c>
      <c r="D42" s="40">
        <v>0</v>
      </c>
      <c r="E42" s="40">
        <v>0</v>
      </c>
      <c r="F42" s="40">
        <v>0</v>
      </c>
      <c r="G42" s="40">
        <v>0</v>
      </c>
      <c r="H42" s="40">
        <v>0</v>
      </c>
      <c r="I42" s="40">
        <v>0</v>
      </c>
    </row>
    <row r="43" spans="1:9" x14ac:dyDescent="0.25">
      <c r="A43" s="17" t="str">
        <f>'F&amp;V '!A112</f>
        <v>Tomato</v>
      </c>
      <c r="B43" s="39"/>
      <c r="C43" s="40">
        <v>0</v>
      </c>
      <c r="D43" s="40">
        <v>0</v>
      </c>
      <c r="E43" s="40">
        <v>0</v>
      </c>
      <c r="F43" s="40">
        <v>0</v>
      </c>
      <c r="G43" s="40">
        <v>0</v>
      </c>
      <c r="H43" s="40">
        <v>0</v>
      </c>
      <c r="I43" s="40">
        <v>0</v>
      </c>
    </row>
    <row r="44" spans="1:9" x14ac:dyDescent="0.25">
      <c r="A44" s="17" t="str">
        <f>'F&amp;V '!A113</f>
        <v>Okra</v>
      </c>
      <c r="B44" s="39"/>
      <c r="C44" s="40">
        <v>0</v>
      </c>
      <c r="D44" s="40">
        <v>0</v>
      </c>
      <c r="E44" s="40">
        <v>0</v>
      </c>
      <c r="F44" s="40">
        <v>0</v>
      </c>
      <c r="G44" s="40">
        <v>0</v>
      </c>
      <c r="H44" s="40">
        <v>0</v>
      </c>
      <c r="I44" s="40">
        <v>0</v>
      </c>
    </row>
    <row r="45" spans="1:9" x14ac:dyDescent="0.25">
      <c r="A45" s="17" t="str">
        <f>'F&amp;V '!A114</f>
        <v>Chilli</v>
      </c>
      <c r="B45" s="39"/>
      <c r="C45" s="40">
        <v>0</v>
      </c>
      <c r="D45" s="40">
        <v>0</v>
      </c>
      <c r="E45" s="40">
        <v>0</v>
      </c>
      <c r="F45" s="40">
        <v>0</v>
      </c>
      <c r="G45" s="40">
        <v>0</v>
      </c>
      <c r="H45" s="40">
        <v>0</v>
      </c>
      <c r="I45" s="40">
        <v>0</v>
      </c>
    </row>
    <row r="46" spans="1:9" x14ac:dyDescent="0.25">
      <c r="A46" s="17" t="str">
        <f>'F&amp;V '!A115</f>
        <v>Potato</v>
      </c>
      <c r="B46" s="39"/>
      <c r="C46" s="40">
        <v>0</v>
      </c>
      <c r="D46" s="40">
        <v>0</v>
      </c>
      <c r="E46" s="40">
        <v>0</v>
      </c>
      <c r="F46" s="40">
        <v>0</v>
      </c>
      <c r="G46" s="40">
        <v>0</v>
      </c>
      <c r="H46" s="40">
        <v>0</v>
      </c>
      <c r="I46" s="40">
        <v>0</v>
      </c>
    </row>
    <row r="47" spans="1:9" x14ac:dyDescent="0.25">
      <c r="A47" s="17" t="str">
        <f>'F&amp;V '!A116</f>
        <v>SWEET POTATO</v>
      </c>
      <c r="B47" s="39"/>
      <c r="C47" s="40">
        <v>0</v>
      </c>
      <c r="D47" s="40">
        <v>0</v>
      </c>
      <c r="E47" s="40">
        <v>0</v>
      </c>
      <c r="F47" s="40">
        <v>0</v>
      </c>
      <c r="G47" s="40">
        <v>0</v>
      </c>
      <c r="H47" s="40">
        <v>0</v>
      </c>
      <c r="I47" s="40">
        <v>0</v>
      </c>
    </row>
    <row r="48" spans="1:9" x14ac:dyDescent="0.25">
      <c r="A48" s="17">
        <f>'F&amp;V '!A117</f>
        <v>0</v>
      </c>
      <c r="B48" s="39"/>
      <c r="C48" s="40">
        <v>0</v>
      </c>
      <c r="D48" s="40">
        <v>0</v>
      </c>
      <c r="E48" s="40">
        <v>0</v>
      </c>
      <c r="F48" s="40">
        <v>0</v>
      </c>
      <c r="G48" s="40">
        <v>0</v>
      </c>
      <c r="H48" s="40">
        <v>0</v>
      </c>
      <c r="I48" s="40">
        <v>0</v>
      </c>
    </row>
    <row r="49" spans="1:9" x14ac:dyDescent="0.25">
      <c r="A49" s="17">
        <f>'F&amp;V '!A118</f>
        <v>0</v>
      </c>
      <c r="B49" s="39"/>
      <c r="C49" s="40">
        <v>0</v>
      </c>
      <c r="D49" s="40">
        <v>0</v>
      </c>
      <c r="E49" s="40">
        <v>0</v>
      </c>
      <c r="F49" s="40">
        <v>0</v>
      </c>
      <c r="G49" s="40">
        <v>0</v>
      </c>
      <c r="H49" s="40">
        <v>0</v>
      </c>
      <c r="I49" s="40">
        <v>0</v>
      </c>
    </row>
    <row r="50" spans="1:9" x14ac:dyDescent="0.25">
      <c r="A50" s="17">
        <f>'F&amp;V '!A119</f>
        <v>0</v>
      </c>
      <c r="B50" s="39"/>
      <c r="C50" s="40">
        <v>0</v>
      </c>
      <c r="D50" s="40">
        <v>0</v>
      </c>
      <c r="E50" s="40">
        <v>0</v>
      </c>
      <c r="F50" s="40">
        <v>0</v>
      </c>
      <c r="G50" s="40">
        <v>0</v>
      </c>
      <c r="H50" s="40">
        <v>0</v>
      </c>
      <c r="I50" s="40">
        <v>0</v>
      </c>
    </row>
    <row r="51" spans="1:9" x14ac:dyDescent="0.25">
      <c r="A51" s="17">
        <f>'F&amp;V '!A120</f>
        <v>0</v>
      </c>
      <c r="B51" s="39"/>
      <c r="C51" s="40">
        <v>0</v>
      </c>
      <c r="D51" s="40">
        <v>0</v>
      </c>
      <c r="E51" s="40">
        <v>0</v>
      </c>
      <c r="F51" s="40">
        <v>0</v>
      </c>
      <c r="G51" s="40">
        <v>0</v>
      </c>
      <c r="H51" s="40">
        <v>0</v>
      </c>
      <c r="I51" s="40">
        <v>0</v>
      </c>
    </row>
    <row r="52" spans="1:9" x14ac:dyDescent="0.25">
      <c r="A52" s="17">
        <f>'F&amp;V '!A121</f>
        <v>0</v>
      </c>
      <c r="B52" s="39"/>
      <c r="C52" s="40">
        <v>0</v>
      </c>
      <c r="D52" s="40">
        <v>0</v>
      </c>
      <c r="E52" s="40">
        <v>0</v>
      </c>
      <c r="F52" s="40">
        <v>0</v>
      </c>
      <c r="G52" s="40">
        <v>0</v>
      </c>
      <c r="H52" s="40">
        <v>0</v>
      </c>
      <c r="I52" s="40">
        <v>0</v>
      </c>
    </row>
    <row r="53" spans="1:9" x14ac:dyDescent="0.25">
      <c r="A53" s="17">
        <f>'F&amp;V '!A122</f>
        <v>0</v>
      </c>
      <c r="B53" s="39"/>
      <c r="C53" s="40">
        <v>0</v>
      </c>
      <c r="D53" s="40">
        <v>0</v>
      </c>
      <c r="E53" s="40">
        <v>0</v>
      </c>
      <c r="F53" s="40">
        <v>0</v>
      </c>
      <c r="G53" s="40">
        <v>0</v>
      </c>
      <c r="H53" s="40">
        <v>0</v>
      </c>
      <c r="I53" s="40">
        <v>0</v>
      </c>
    </row>
    <row r="54" spans="1:9" x14ac:dyDescent="0.25">
      <c r="A54" s="17" t="str">
        <f>'F&amp;V '!A123</f>
        <v>Pomegranate</v>
      </c>
      <c r="B54" s="39"/>
      <c r="C54" s="40">
        <v>0</v>
      </c>
      <c r="D54" s="40">
        <v>0</v>
      </c>
      <c r="E54" s="40">
        <v>0</v>
      </c>
      <c r="F54" s="40">
        <v>0</v>
      </c>
      <c r="G54" s="40">
        <v>0</v>
      </c>
      <c r="H54" s="40">
        <v>0</v>
      </c>
      <c r="I54" s="40">
        <v>0</v>
      </c>
    </row>
    <row r="55" spans="1:9" x14ac:dyDescent="0.25">
      <c r="A55" s="17" t="str">
        <f>'F&amp;V '!A124</f>
        <v>Custard Apple</v>
      </c>
      <c r="B55" s="39"/>
      <c r="C55" s="40">
        <v>0</v>
      </c>
      <c r="D55" s="40">
        <v>0</v>
      </c>
      <c r="E55" s="40">
        <v>0</v>
      </c>
      <c r="F55" s="40">
        <v>0</v>
      </c>
      <c r="G55" s="40">
        <v>0</v>
      </c>
      <c r="H55" s="40">
        <v>0</v>
      </c>
      <c r="I55" s="40">
        <v>0</v>
      </c>
    </row>
    <row r="56" spans="1:9" x14ac:dyDescent="0.25">
      <c r="A56" s="17" t="str">
        <f>'F&amp;V '!A125</f>
        <v>Guava</v>
      </c>
      <c r="B56" s="39"/>
      <c r="C56" s="40">
        <v>0</v>
      </c>
      <c r="D56" s="40">
        <v>0</v>
      </c>
      <c r="E56" s="40">
        <v>0</v>
      </c>
      <c r="F56" s="40">
        <v>0</v>
      </c>
      <c r="G56" s="40">
        <v>0</v>
      </c>
      <c r="H56" s="40">
        <v>0</v>
      </c>
      <c r="I56" s="40">
        <v>0</v>
      </c>
    </row>
    <row r="57" spans="1:9" x14ac:dyDescent="0.25">
      <c r="A57" s="17" t="str">
        <f>'F&amp;V '!A126</f>
        <v>CASHEW</v>
      </c>
      <c r="B57" s="39"/>
      <c r="C57" s="40">
        <v>0</v>
      </c>
      <c r="D57" s="40">
        <v>0</v>
      </c>
      <c r="E57" s="40">
        <v>0</v>
      </c>
      <c r="F57" s="40">
        <v>0</v>
      </c>
      <c r="G57" s="40">
        <v>0</v>
      </c>
      <c r="H57" s="40">
        <v>0</v>
      </c>
      <c r="I57" s="40">
        <v>0</v>
      </c>
    </row>
    <row r="58" spans="1:9" x14ac:dyDescent="0.25">
      <c r="A58" s="17"/>
      <c r="B58" s="39"/>
      <c r="C58" s="39"/>
      <c r="D58" s="39"/>
      <c r="E58" s="39"/>
      <c r="F58" s="39"/>
      <c r="G58" s="39"/>
      <c r="H58" s="39"/>
      <c r="I58" s="39"/>
    </row>
    <row r="59" spans="1:9" x14ac:dyDescent="0.25">
      <c r="A59" s="38" t="s">
        <v>179</v>
      </c>
      <c r="B59" s="17"/>
      <c r="C59" s="17"/>
      <c r="D59" s="17"/>
      <c r="E59" s="17"/>
      <c r="F59" s="17"/>
      <c r="G59" s="17"/>
      <c r="H59" s="17"/>
      <c r="I59" s="17"/>
    </row>
    <row r="60" spans="1:9" x14ac:dyDescent="0.25">
      <c r="A60" s="38" t="s">
        <v>180</v>
      </c>
      <c r="B60" s="17"/>
      <c r="C60" s="17"/>
      <c r="D60" s="17"/>
      <c r="E60" s="17"/>
      <c r="F60" s="17"/>
      <c r="G60" s="17"/>
      <c r="H60" s="17"/>
      <c r="I60" s="17"/>
    </row>
    <row r="61" spans="1:9" x14ac:dyDescent="0.25">
      <c r="A61" s="38" t="str">
        <f t="shared" ref="A61:A92" si="0">A8</f>
        <v>Kharif Crops</v>
      </c>
      <c r="B61" s="17"/>
      <c r="C61" s="17"/>
      <c r="D61" s="17"/>
      <c r="E61" s="17"/>
      <c r="F61" s="17"/>
      <c r="G61" s="17"/>
      <c r="H61" s="17"/>
      <c r="I61" s="17"/>
    </row>
    <row r="62" spans="1:9" x14ac:dyDescent="0.25">
      <c r="A62" s="17" t="str">
        <f t="shared" si="0"/>
        <v>Soybean</v>
      </c>
      <c r="B62" s="31">
        <v>40</v>
      </c>
      <c r="C62" s="41">
        <f>$B62*C9</f>
        <v>0</v>
      </c>
      <c r="D62" s="41">
        <f>$B62*D9</f>
        <v>0</v>
      </c>
      <c r="E62" s="41">
        <f t="shared" ref="E62:I62" si="1">$B62*E9</f>
        <v>0</v>
      </c>
      <c r="F62" s="41">
        <f t="shared" si="1"/>
        <v>0</v>
      </c>
      <c r="G62" s="41">
        <f t="shared" si="1"/>
        <v>0</v>
      </c>
      <c r="H62" s="41">
        <f t="shared" si="1"/>
        <v>0</v>
      </c>
      <c r="I62" s="41">
        <f t="shared" si="1"/>
        <v>0</v>
      </c>
    </row>
    <row r="63" spans="1:9" x14ac:dyDescent="0.25">
      <c r="A63" s="17" t="str">
        <f t="shared" si="0"/>
        <v>Red Gram/Tur</v>
      </c>
      <c r="B63" s="31">
        <v>5</v>
      </c>
      <c r="C63" s="41">
        <f>$B63*C10</f>
        <v>0</v>
      </c>
      <c r="D63" s="41">
        <f t="shared" ref="D63:I63" si="2">$B$63*D10</f>
        <v>0</v>
      </c>
      <c r="E63" s="41">
        <f t="shared" si="2"/>
        <v>0</v>
      </c>
      <c r="F63" s="41">
        <f t="shared" si="2"/>
        <v>0</v>
      </c>
      <c r="G63" s="41">
        <f t="shared" si="2"/>
        <v>0</v>
      </c>
      <c r="H63" s="41">
        <f t="shared" si="2"/>
        <v>0</v>
      </c>
      <c r="I63" s="41">
        <f t="shared" si="2"/>
        <v>0</v>
      </c>
    </row>
    <row r="64" spans="1:9" x14ac:dyDescent="0.25">
      <c r="A64" s="17" t="str">
        <f t="shared" si="0"/>
        <v>Paddy/Rice</v>
      </c>
      <c r="B64" s="31">
        <v>15</v>
      </c>
      <c r="C64" s="41">
        <f>$B64*C11</f>
        <v>0</v>
      </c>
      <c r="D64" s="41">
        <f t="shared" ref="D64:I64" si="3">$B$64*D11</f>
        <v>0</v>
      </c>
      <c r="E64" s="41">
        <f t="shared" si="3"/>
        <v>0</v>
      </c>
      <c r="F64" s="41">
        <f t="shared" si="3"/>
        <v>0</v>
      </c>
      <c r="G64" s="41">
        <f t="shared" si="3"/>
        <v>0</v>
      </c>
      <c r="H64" s="41">
        <f t="shared" si="3"/>
        <v>0</v>
      </c>
      <c r="I64" s="41">
        <f t="shared" si="3"/>
        <v>0</v>
      </c>
    </row>
    <row r="65" spans="1:9" x14ac:dyDescent="0.25">
      <c r="A65" s="17" t="str">
        <f t="shared" si="0"/>
        <v>Masoor/ Moong</v>
      </c>
      <c r="B65" s="31">
        <v>15</v>
      </c>
      <c r="C65" s="41">
        <f>$B65*C12</f>
        <v>0</v>
      </c>
      <c r="D65" s="41">
        <f t="shared" ref="D65:I67" si="4">$B65*D12</f>
        <v>0</v>
      </c>
      <c r="E65" s="41">
        <f t="shared" si="4"/>
        <v>0</v>
      </c>
      <c r="F65" s="41">
        <f t="shared" si="4"/>
        <v>0</v>
      </c>
      <c r="G65" s="41">
        <f t="shared" si="4"/>
        <v>0</v>
      </c>
      <c r="H65" s="41">
        <f t="shared" si="4"/>
        <v>0</v>
      </c>
      <c r="I65" s="41">
        <f t="shared" si="4"/>
        <v>0</v>
      </c>
    </row>
    <row r="66" spans="1:9" x14ac:dyDescent="0.25">
      <c r="A66" s="17" t="str">
        <f t="shared" si="0"/>
        <v>Sweet Potato</v>
      </c>
      <c r="B66" s="31">
        <v>25</v>
      </c>
      <c r="C66" s="41">
        <f>$B66*C13</f>
        <v>0</v>
      </c>
      <c r="D66" s="41">
        <f t="shared" si="4"/>
        <v>0</v>
      </c>
      <c r="E66" s="41">
        <f t="shared" si="4"/>
        <v>0</v>
      </c>
      <c r="F66" s="41">
        <f t="shared" si="4"/>
        <v>0</v>
      </c>
      <c r="G66" s="41">
        <f t="shared" si="4"/>
        <v>0</v>
      </c>
      <c r="H66" s="41">
        <f t="shared" si="4"/>
        <v>0</v>
      </c>
      <c r="I66" s="41">
        <f t="shared" si="4"/>
        <v>0</v>
      </c>
    </row>
    <row r="67" spans="1:9" x14ac:dyDescent="0.25">
      <c r="A67" s="17" t="str">
        <f t="shared" si="0"/>
        <v>Black Gram/Udid</v>
      </c>
      <c r="B67" s="31">
        <v>15</v>
      </c>
      <c r="C67" s="41">
        <f>$B67*C14</f>
        <v>0</v>
      </c>
      <c r="D67" s="41">
        <f t="shared" si="4"/>
        <v>0</v>
      </c>
      <c r="E67" s="41">
        <f t="shared" si="4"/>
        <v>0</v>
      </c>
      <c r="F67" s="41">
        <f t="shared" si="4"/>
        <v>0</v>
      </c>
      <c r="G67" s="41">
        <f t="shared" si="4"/>
        <v>0</v>
      </c>
      <c r="H67" s="41">
        <f t="shared" si="4"/>
        <v>0</v>
      </c>
      <c r="I67" s="41">
        <f t="shared" si="4"/>
        <v>0</v>
      </c>
    </row>
    <row r="68" spans="1:9" x14ac:dyDescent="0.25">
      <c r="A68" s="17" t="str">
        <f t="shared" si="0"/>
        <v>RAGI</v>
      </c>
      <c r="B68" s="31">
        <v>5</v>
      </c>
      <c r="C68" s="41">
        <f t="shared" ref="C68:I68" si="5">$B68*C15</f>
        <v>0</v>
      </c>
      <c r="D68" s="41">
        <f t="shared" si="5"/>
        <v>0</v>
      </c>
      <c r="E68" s="41">
        <f t="shared" si="5"/>
        <v>0</v>
      </c>
      <c r="F68" s="41">
        <f t="shared" si="5"/>
        <v>0</v>
      </c>
      <c r="G68" s="41">
        <f t="shared" si="5"/>
        <v>0</v>
      </c>
      <c r="H68" s="41">
        <f t="shared" si="5"/>
        <v>0</v>
      </c>
      <c r="I68" s="41">
        <f t="shared" si="5"/>
        <v>0</v>
      </c>
    </row>
    <row r="69" spans="1:9" x14ac:dyDescent="0.25">
      <c r="A69" s="17" t="str">
        <f t="shared" si="0"/>
        <v>Jawar</v>
      </c>
      <c r="B69" s="31">
        <v>5</v>
      </c>
      <c r="C69" s="41">
        <f t="shared" ref="C69:I69" si="6">$B69*C16</f>
        <v>0</v>
      </c>
      <c r="D69" s="41">
        <f t="shared" si="6"/>
        <v>0</v>
      </c>
      <c r="E69" s="41">
        <f t="shared" si="6"/>
        <v>0</v>
      </c>
      <c r="F69" s="41">
        <f t="shared" si="6"/>
        <v>0</v>
      </c>
      <c r="G69" s="41">
        <f t="shared" si="6"/>
        <v>0</v>
      </c>
      <c r="H69" s="41">
        <f t="shared" si="6"/>
        <v>0</v>
      </c>
      <c r="I69" s="41">
        <f t="shared" si="6"/>
        <v>0</v>
      </c>
    </row>
    <row r="70" spans="1:9" x14ac:dyDescent="0.25">
      <c r="A70" s="38" t="str">
        <f t="shared" si="0"/>
        <v>Rabi Crop</v>
      </c>
      <c r="B70" s="31"/>
      <c r="C70" s="41"/>
      <c r="D70" s="41"/>
      <c r="E70" s="41"/>
      <c r="F70" s="41"/>
      <c r="G70" s="41"/>
      <c r="H70" s="41"/>
      <c r="I70" s="41"/>
    </row>
    <row r="71" spans="1:9" x14ac:dyDescent="0.25">
      <c r="A71" s="17" t="str">
        <f t="shared" si="0"/>
        <v>Wheat</v>
      </c>
      <c r="B71" s="31">
        <v>20</v>
      </c>
      <c r="C71" s="41">
        <f t="shared" ref="C71:I71" si="7">$B71*C18</f>
        <v>0</v>
      </c>
      <c r="D71" s="41">
        <f t="shared" si="7"/>
        <v>0</v>
      </c>
      <c r="E71" s="41">
        <f t="shared" si="7"/>
        <v>0</v>
      </c>
      <c r="F71" s="41">
        <f t="shared" si="7"/>
        <v>0</v>
      </c>
      <c r="G71" s="41">
        <f t="shared" si="7"/>
        <v>0</v>
      </c>
      <c r="H71" s="41">
        <f t="shared" si="7"/>
        <v>0</v>
      </c>
      <c r="I71" s="41">
        <f t="shared" si="7"/>
        <v>0</v>
      </c>
    </row>
    <row r="72" spans="1:9" x14ac:dyDescent="0.25">
      <c r="A72" s="17" t="str">
        <f t="shared" si="0"/>
        <v>Bengal Gram/Channa</v>
      </c>
      <c r="B72" s="31">
        <v>25</v>
      </c>
      <c r="C72" s="41">
        <f t="shared" ref="C72:I72" si="8">$B72*C19</f>
        <v>0</v>
      </c>
      <c r="D72" s="41">
        <f t="shared" si="8"/>
        <v>0</v>
      </c>
      <c r="E72" s="41">
        <f t="shared" si="8"/>
        <v>0</v>
      </c>
      <c r="F72" s="41">
        <f t="shared" si="8"/>
        <v>0</v>
      </c>
      <c r="G72" s="41">
        <f t="shared" si="8"/>
        <v>0</v>
      </c>
      <c r="H72" s="41">
        <f t="shared" si="8"/>
        <v>0</v>
      </c>
      <c r="I72" s="41">
        <f t="shared" si="8"/>
        <v>0</v>
      </c>
    </row>
    <row r="73" spans="1:9" x14ac:dyDescent="0.25">
      <c r="A73" s="17" t="str">
        <f t="shared" si="0"/>
        <v>Jawar</v>
      </c>
      <c r="B73" s="31">
        <v>5</v>
      </c>
      <c r="C73" s="41">
        <f t="shared" ref="C73:I73" si="9">$B73*C20</f>
        <v>0</v>
      </c>
      <c r="D73" s="41">
        <f t="shared" si="9"/>
        <v>0</v>
      </c>
      <c r="E73" s="41">
        <f t="shared" si="9"/>
        <v>0</v>
      </c>
      <c r="F73" s="41">
        <f t="shared" si="9"/>
        <v>0</v>
      </c>
      <c r="G73" s="41">
        <f t="shared" si="9"/>
        <v>0</v>
      </c>
      <c r="H73" s="41">
        <f t="shared" si="9"/>
        <v>0</v>
      </c>
      <c r="I73" s="41">
        <f t="shared" si="9"/>
        <v>0</v>
      </c>
    </row>
    <row r="74" spans="1:9" x14ac:dyDescent="0.25">
      <c r="A74" s="17" t="str">
        <f t="shared" si="0"/>
        <v>Sweet Potato</v>
      </c>
      <c r="B74" s="31">
        <v>20</v>
      </c>
      <c r="C74" s="41">
        <f t="shared" ref="C74:I74" si="10">$B74*C21</f>
        <v>0</v>
      </c>
      <c r="D74" s="41">
        <f t="shared" si="10"/>
        <v>0</v>
      </c>
      <c r="E74" s="41">
        <f t="shared" si="10"/>
        <v>0</v>
      </c>
      <c r="F74" s="41">
        <f t="shared" si="10"/>
        <v>0</v>
      </c>
      <c r="G74" s="41">
        <f t="shared" si="10"/>
        <v>0</v>
      </c>
      <c r="H74" s="41">
        <f t="shared" si="10"/>
        <v>0</v>
      </c>
      <c r="I74" s="41">
        <f t="shared" si="10"/>
        <v>0</v>
      </c>
    </row>
    <row r="75" spans="1:9" x14ac:dyDescent="0.25">
      <c r="A75" s="17" t="str">
        <f t="shared" si="0"/>
        <v>Safflower</v>
      </c>
      <c r="B75" s="31"/>
      <c r="C75" s="41">
        <f t="shared" ref="C75:I75" si="11">$B75*C22</f>
        <v>0</v>
      </c>
      <c r="D75" s="41">
        <f t="shared" si="11"/>
        <v>0</v>
      </c>
      <c r="E75" s="41">
        <f t="shared" si="11"/>
        <v>0</v>
      </c>
      <c r="F75" s="41">
        <f t="shared" si="11"/>
        <v>0</v>
      </c>
      <c r="G75" s="41">
        <f t="shared" si="11"/>
        <v>0</v>
      </c>
      <c r="H75" s="41">
        <f t="shared" si="11"/>
        <v>0</v>
      </c>
      <c r="I75" s="41">
        <f t="shared" si="11"/>
        <v>0</v>
      </c>
    </row>
    <row r="76" spans="1:9" x14ac:dyDescent="0.25">
      <c r="A76" s="17">
        <f t="shared" si="0"/>
        <v>0</v>
      </c>
      <c r="B76" s="31"/>
      <c r="C76" s="41">
        <f t="shared" ref="C76:I76" si="12">$B76*C23</f>
        <v>0</v>
      </c>
      <c r="D76" s="41">
        <f t="shared" si="12"/>
        <v>0</v>
      </c>
      <c r="E76" s="41">
        <f t="shared" si="12"/>
        <v>0</v>
      </c>
      <c r="F76" s="41">
        <f t="shared" si="12"/>
        <v>0</v>
      </c>
      <c r="G76" s="41">
        <f t="shared" si="12"/>
        <v>0</v>
      </c>
      <c r="H76" s="41">
        <f t="shared" si="12"/>
        <v>0</v>
      </c>
      <c r="I76" s="41">
        <f t="shared" si="12"/>
        <v>0</v>
      </c>
    </row>
    <row r="77" spans="1:9" x14ac:dyDescent="0.25">
      <c r="A77" s="17">
        <f t="shared" si="0"/>
        <v>0</v>
      </c>
      <c r="B77" s="31"/>
      <c r="C77" s="41">
        <f t="shared" ref="C77:I77" si="13">$B77*C24</f>
        <v>0</v>
      </c>
      <c r="D77" s="41">
        <f t="shared" si="13"/>
        <v>0</v>
      </c>
      <c r="E77" s="41">
        <f t="shared" si="13"/>
        <v>0</v>
      </c>
      <c r="F77" s="41">
        <f t="shared" si="13"/>
        <v>0</v>
      </c>
      <c r="G77" s="41">
        <f t="shared" si="13"/>
        <v>0</v>
      </c>
      <c r="H77" s="41">
        <f t="shared" si="13"/>
        <v>0</v>
      </c>
      <c r="I77" s="41">
        <f t="shared" si="13"/>
        <v>0</v>
      </c>
    </row>
    <row r="78" spans="1:9" x14ac:dyDescent="0.25">
      <c r="A78" s="17">
        <f t="shared" si="0"/>
        <v>0</v>
      </c>
      <c r="B78" s="31"/>
      <c r="C78" s="41">
        <f t="shared" ref="C78:I78" si="14">$B78*C25</f>
        <v>0</v>
      </c>
      <c r="D78" s="41">
        <f t="shared" si="14"/>
        <v>0</v>
      </c>
      <c r="E78" s="41">
        <f t="shared" si="14"/>
        <v>0</v>
      </c>
      <c r="F78" s="41">
        <f t="shared" si="14"/>
        <v>0</v>
      </c>
      <c r="G78" s="41">
        <f t="shared" si="14"/>
        <v>0</v>
      </c>
      <c r="H78" s="41">
        <f t="shared" si="14"/>
        <v>0</v>
      </c>
      <c r="I78" s="41">
        <f t="shared" si="14"/>
        <v>0</v>
      </c>
    </row>
    <row r="79" spans="1:9" x14ac:dyDescent="0.25">
      <c r="A79" s="38" t="str">
        <f t="shared" si="0"/>
        <v>Summer</v>
      </c>
      <c r="B79" s="31"/>
      <c r="C79" s="41"/>
      <c r="D79" s="41"/>
      <c r="E79" s="41"/>
      <c r="F79" s="41"/>
      <c r="G79" s="41"/>
      <c r="H79" s="41"/>
      <c r="I79" s="41"/>
    </row>
    <row r="80" spans="1:9" x14ac:dyDescent="0.25">
      <c r="A80" s="17" t="str">
        <f t="shared" si="0"/>
        <v>Groundnut</v>
      </c>
      <c r="B80" s="31"/>
      <c r="C80" s="41">
        <f t="shared" ref="C80:I80" si="15">$B80*C27</f>
        <v>0</v>
      </c>
      <c r="D80" s="41">
        <f t="shared" si="15"/>
        <v>0</v>
      </c>
      <c r="E80" s="41">
        <f t="shared" si="15"/>
        <v>0</v>
      </c>
      <c r="F80" s="41">
        <f t="shared" si="15"/>
        <v>0</v>
      </c>
      <c r="G80" s="41">
        <f t="shared" si="15"/>
        <v>0</v>
      </c>
      <c r="H80" s="41">
        <f t="shared" si="15"/>
        <v>0</v>
      </c>
      <c r="I80" s="41">
        <f t="shared" si="15"/>
        <v>0</v>
      </c>
    </row>
    <row r="81" spans="1:9" x14ac:dyDescent="0.25">
      <c r="A81" s="17" t="str">
        <f t="shared" si="0"/>
        <v>RAGI</v>
      </c>
      <c r="B81" s="31"/>
      <c r="C81" s="41">
        <f t="shared" ref="C81:I81" si="16">$B81*C28</f>
        <v>0</v>
      </c>
      <c r="D81" s="41">
        <f t="shared" si="16"/>
        <v>0</v>
      </c>
      <c r="E81" s="41">
        <f t="shared" si="16"/>
        <v>0</v>
      </c>
      <c r="F81" s="41">
        <f t="shared" si="16"/>
        <v>0</v>
      </c>
      <c r="G81" s="41">
        <f t="shared" si="16"/>
        <v>0</v>
      </c>
      <c r="H81" s="41">
        <f t="shared" si="16"/>
        <v>0</v>
      </c>
      <c r="I81" s="41">
        <f t="shared" si="16"/>
        <v>0</v>
      </c>
    </row>
    <row r="82" spans="1:9" x14ac:dyDescent="0.25">
      <c r="A82" s="17">
        <f t="shared" si="0"/>
        <v>0</v>
      </c>
      <c r="B82" s="31"/>
      <c r="C82" s="41">
        <f t="shared" ref="C82:I82" si="17">$B82*C29</f>
        <v>0</v>
      </c>
      <c r="D82" s="41">
        <f t="shared" si="17"/>
        <v>0</v>
      </c>
      <c r="E82" s="41">
        <f t="shared" si="17"/>
        <v>0</v>
      </c>
      <c r="F82" s="41">
        <f t="shared" si="17"/>
        <v>0</v>
      </c>
      <c r="G82" s="41">
        <f t="shared" si="17"/>
        <v>0</v>
      </c>
      <c r="H82" s="41">
        <f t="shared" si="17"/>
        <v>0</v>
      </c>
      <c r="I82" s="41">
        <f t="shared" si="17"/>
        <v>0</v>
      </c>
    </row>
    <row r="83" spans="1:9" x14ac:dyDescent="0.25">
      <c r="A83" s="17">
        <f t="shared" si="0"/>
        <v>0</v>
      </c>
      <c r="B83" s="31"/>
      <c r="C83" s="41">
        <f t="shared" ref="C83:I83" si="18">$B83*C30</f>
        <v>0</v>
      </c>
      <c r="D83" s="41">
        <f t="shared" si="18"/>
        <v>0</v>
      </c>
      <c r="E83" s="41">
        <f t="shared" si="18"/>
        <v>0</v>
      </c>
      <c r="F83" s="41">
        <f t="shared" si="18"/>
        <v>0</v>
      </c>
      <c r="G83" s="41">
        <f t="shared" si="18"/>
        <v>0</v>
      </c>
      <c r="H83" s="41">
        <f t="shared" si="18"/>
        <v>0</v>
      </c>
      <c r="I83" s="41">
        <f t="shared" si="18"/>
        <v>0</v>
      </c>
    </row>
    <row r="84" spans="1:9" x14ac:dyDescent="0.25">
      <c r="A84" s="17">
        <f t="shared" si="0"/>
        <v>0</v>
      </c>
      <c r="B84" s="31"/>
      <c r="C84" s="41">
        <f t="shared" ref="C84:I84" si="19">$B84*C31</f>
        <v>0</v>
      </c>
      <c r="D84" s="41">
        <f t="shared" si="19"/>
        <v>0</v>
      </c>
      <c r="E84" s="41">
        <f t="shared" si="19"/>
        <v>0</v>
      </c>
      <c r="F84" s="41">
        <f t="shared" si="19"/>
        <v>0</v>
      </c>
      <c r="G84" s="41">
        <f t="shared" si="19"/>
        <v>0</v>
      </c>
      <c r="H84" s="41">
        <f t="shared" si="19"/>
        <v>0</v>
      </c>
      <c r="I84" s="41">
        <f t="shared" si="19"/>
        <v>0</v>
      </c>
    </row>
    <row r="85" spans="1:9" x14ac:dyDescent="0.25">
      <c r="A85" s="38" t="str">
        <f t="shared" si="0"/>
        <v>Fruit  &amp; Vegetables Crop Production Details</v>
      </c>
      <c r="B85" s="31"/>
      <c r="C85" s="41"/>
      <c r="D85" s="41"/>
      <c r="E85" s="41"/>
      <c r="F85" s="41"/>
      <c r="G85" s="41"/>
      <c r="H85" s="41"/>
      <c r="I85" s="41"/>
    </row>
    <row r="86" spans="1:9" x14ac:dyDescent="0.25">
      <c r="A86" s="17" t="str">
        <f t="shared" si="0"/>
        <v>Onion</v>
      </c>
      <c r="B86" s="31"/>
      <c r="C86" s="41">
        <f t="shared" ref="C86:I86" si="20">$B86*C33</f>
        <v>0</v>
      </c>
      <c r="D86" s="41">
        <f t="shared" si="20"/>
        <v>0</v>
      </c>
      <c r="E86" s="41">
        <f t="shared" si="20"/>
        <v>0</v>
      </c>
      <c r="F86" s="41">
        <f t="shared" si="20"/>
        <v>0</v>
      </c>
      <c r="G86" s="41">
        <f t="shared" si="20"/>
        <v>0</v>
      </c>
      <c r="H86" s="41">
        <f t="shared" si="20"/>
        <v>0</v>
      </c>
      <c r="I86" s="41">
        <f t="shared" si="20"/>
        <v>0</v>
      </c>
    </row>
    <row r="87" spans="1:9" x14ac:dyDescent="0.25">
      <c r="A87" s="17" t="str">
        <f t="shared" si="0"/>
        <v>Tomato</v>
      </c>
      <c r="B87" s="31"/>
      <c r="C87" s="41">
        <f t="shared" ref="C87:I87" si="21">$B87*C34</f>
        <v>0</v>
      </c>
      <c r="D87" s="41">
        <f t="shared" si="21"/>
        <v>0</v>
      </c>
      <c r="E87" s="41">
        <f t="shared" si="21"/>
        <v>0</v>
      </c>
      <c r="F87" s="41">
        <f t="shared" si="21"/>
        <v>0</v>
      </c>
      <c r="G87" s="41">
        <f t="shared" si="21"/>
        <v>0</v>
      </c>
      <c r="H87" s="41">
        <f t="shared" si="21"/>
        <v>0</v>
      </c>
      <c r="I87" s="41">
        <f t="shared" si="21"/>
        <v>0</v>
      </c>
    </row>
    <row r="88" spans="1:9" x14ac:dyDescent="0.25">
      <c r="A88" s="17" t="str">
        <f t="shared" si="0"/>
        <v>Okra</v>
      </c>
      <c r="B88" s="31"/>
      <c r="C88" s="41">
        <f t="shared" ref="C88:I88" si="22">$B88*C35</f>
        <v>0</v>
      </c>
      <c r="D88" s="41">
        <f t="shared" si="22"/>
        <v>0</v>
      </c>
      <c r="E88" s="41">
        <f t="shared" si="22"/>
        <v>0</v>
      </c>
      <c r="F88" s="41">
        <f t="shared" si="22"/>
        <v>0</v>
      </c>
      <c r="G88" s="41">
        <f t="shared" si="22"/>
        <v>0</v>
      </c>
      <c r="H88" s="41">
        <f t="shared" si="22"/>
        <v>0</v>
      </c>
      <c r="I88" s="41">
        <f t="shared" si="22"/>
        <v>0</v>
      </c>
    </row>
    <row r="89" spans="1:9" x14ac:dyDescent="0.25">
      <c r="A89" s="17" t="str">
        <f t="shared" si="0"/>
        <v>Chilli</v>
      </c>
      <c r="B89" s="31"/>
      <c r="C89" s="41">
        <f t="shared" ref="C89:I89" si="23">$B89*C36</f>
        <v>0</v>
      </c>
      <c r="D89" s="41">
        <f t="shared" si="23"/>
        <v>0</v>
      </c>
      <c r="E89" s="41">
        <f t="shared" si="23"/>
        <v>0</v>
      </c>
      <c r="F89" s="41">
        <f t="shared" si="23"/>
        <v>0</v>
      </c>
      <c r="G89" s="41">
        <f t="shared" si="23"/>
        <v>0</v>
      </c>
      <c r="H89" s="41">
        <f t="shared" si="23"/>
        <v>0</v>
      </c>
      <c r="I89" s="41">
        <f t="shared" si="23"/>
        <v>0</v>
      </c>
    </row>
    <row r="90" spans="1:9" x14ac:dyDescent="0.25">
      <c r="A90" s="17" t="str">
        <f t="shared" si="0"/>
        <v>Potato</v>
      </c>
      <c r="B90" s="31"/>
      <c r="C90" s="41">
        <f t="shared" ref="C90:I90" si="24">$B90*C37</f>
        <v>0</v>
      </c>
      <c r="D90" s="41">
        <f t="shared" si="24"/>
        <v>0</v>
      </c>
      <c r="E90" s="41">
        <f t="shared" si="24"/>
        <v>0</v>
      </c>
      <c r="F90" s="41">
        <f t="shared" si="24"/>
        <v>0</v>
      </c>
      <c r="G90" s="41">
        <f t="shared" si="24"/>
        <v>0</v>
      </c>
      <c r="H90" s="41">
        <f t="shared" si="24"/>
        <v>0</v>
      </c>
      <c r="I90" s="41">
        <f t="shared" si="24"/>
        <v>0</v>
      </c>
    </row>
    <row r="91" spans="1:9" x14ac:dyDescent="0.25">
      <c r="A91" s="17" t="str">
        <f t="shared" si="0"/>
        <v>SWEET POTATO</v>
      </c>
      <c r="B91" s="31"/>
      <c r="C91" s="41">
        <f t="shared" ref="C91:I91" si="25">$B91*C38</f>
        <v>0</v>
      </c>
      <c r="D91" s="41">
        <f t="shared" si="25"/>
        <v>0</v>
      </c>
      <c r="E91" s="41">
        <f t="shared" si="25"/>
        <v>0</v>
      </c>
      <c r="F91" s="41">
        <f t="shared" si="25"/>
        <v>0</v>
      </c>
      <c r="G91" s="41">
        <f t="shared" si="25"/>
        <v>0</v>
      </c>
      <c r="H91" s="41">
        <f t="shared" si="25"/>
        <v>0</v>
      </c>
      <c r="I91" s="41">
        <f t="shared" si="25"/>
        <v>0</v>
      </c>
    </row>
    <row r="92" spans="1:9" x14ac:dyDescent="0.25">
      <c r="A92" s="17">
        <f t="shared" si="0"/>
        <v>0</v>
      </c>
      <c r="B92" s="31"/>
      <c r="C92" s="41">
        <f t="shared" ref="C92:I92" si="26">$B92*C39</f>
        <v>0</v>
      </c>
      <c r="D92" s="41">
        <f t="shared" si="26"/>
        <v>0</v>
      </c>
      <c r="E92" s="41">
        <f t="shared" si="26"/>
        <v>0</v>
      </c>
      <c r="F92" s="41">
        <f t="shared" si="26"/>
        <v>0</v>
      </c>
      <c r="G92" s="41">
        <f t="shared" si="26"/>
        <v>0</v>
      </c>
      <c r="H92" s="41">
        <f t="shared" si="26"/>
        <v>0</v>
      </c>
      <c r="I92" s="41">
        <f t="shared" si="26"/>
        <v>0</v>
      </c>
    </row>
    <row r="93" spans="1:9" x14ac:dyDescent="0.25">
      <c r="A93" s="17">
        <f t="shared" ref="A93:A110" si="27">A40</f>
        <v>0</v>
      </c>
      <c r="B93" s="31"/>
      <c r="C93" s="41">
        <f t="shared" ref="C93:I93" si="28">$B93*C40</f>
        <v>0</v>
      </c>
      <c r="D93" s="41">
        <f t="shared" si="28"/>
        <v>0</v>
      </c>
      <c r="E93" s="41">
        <f t="shared" si="28"/>
        <v>0</v>
      </c>
      <c r="F93" s="41">
        <f t="shared" si="28"/>
        <v>0</v>
      </c>
      <c r="G93" s="41">
        <f t="shared" si="28"/>
        <v>0</v>
      </c>
      <c r="H93" s="41">
        <f t="shared" si="28"/>
        <v>0</v>
      </c>
      <c r="I93" s="41">
        <f t="shared" si="28"/>
        <v>0</v>
      </c>
    </row>
    <row r="94" spans="1:9" x14ac:dyDescent="0.25">
      <c r="A94" s="17">
        <f t="shared" si="27"/>
        <v>0</v>
      </c>
      <c r="B94" s="31"/>
      <c r="C94" s="41">
        <f t="shared" ref="C94:I94" si="29">$B94*C41</f>
        <v>0</v>
      </c>
      <c r="D94" s="41">
        <f t="shared" si="29"/>
        <v>0</v>
      </c>
      <c r="E94" s="41">
        <f t="shared" si="29"/>
        <v>0</v>
      </c>
      <c r="F94" s="41">
        <f t="shared" si="29"/>
        <v>0</v>
      </c>
      <c r="G94" s="41">
        <f t="shared" si="29"/>
        <v>0</v>
      </c>
      <c r="H94" s="41">
        <f t="shared" si="29"/>
        <v>0</v>
      </c>
      <c r="I94" s="41">
        <f t="shared" si="29"/>
        <v>0</v>
      </c>
    </row>
    <row r="95" spans="1:9" x14ac:dyDescent="0.25">
      <c r="A95" s="17" t="str">
        <f t="shared" si="27"/>
        <v>Onion</v>
      </c>
      <c r="B95" s="31"/>
      <c r="C95" s="41">
        <f t="shared" ref="C95:I95" si="30">$B95*C42</f>
        <v>0</v>
      </c>
      <c r="D95" s="41">
        <f t="shared" si="30"/>
        <v>0</v>
      </c>
      <c r="E95" s="41">
        <f t="shared" si="30"/>
        <v>0</v>
      </c>
      <c r="F95" s="41">
        <f t="shared" si="30"/>
        <v>0</v>
      </c>
      <c r="G95" s="41">
        <f t="shared" si="30"/>
        <v>0</v>
      </c>
      <c r="H95" s="41">
        <f t="shared" si="30"/>
        <v>0</v>
      </c>
      <c r="I95" s="41">
        <f t="shared" si="30"/>
        <v>0</v>
      </c>
    </row>
    <row r="96" spans="1:9" x14ac:dyDescent="0.25">
      <c r="A96" s="17" t="str">
        <f t="shared" si="27"/>
        <v>Tomato</v>
      </c>
      <c r="B96" s="31"/>
      <c r="C96" s="41">
        <f t="shared" ref="C96:I96" si="31">$B96*C43</f>
        <v>0</v>
      </c>
      <c r="D96" s="41">
        <f t="shared" si="31"/>
        <v>0</v>
      </c>
      <c r="E96" s="41">
        <f t="shared" si="31"/>
        <v>0</v>
      </c>
      <c r="F96" s="41">
        <f t="shared" si="31"/>
        <v>0</v>
      </c>
      <c r="G96" s="41">
        <f t="shared" si="31"/>
        <v>0</v>
      </c>
      <c r="H96" s="41">
        <f t="shared" si="31"/>
        <v>0</v>
      </c>
      <c r="I96" s="41">
        <f t="shared" si="31"/>
        <v>0</v>
      </c>
    </row>
    <row r="97" spans="1:9" x14ac:dyDescent="0.25">
      <c r="A97" s="17" t="str">
        <f t="shared" si="27"/>
        <v>Okra</v>
      </c>
      <c r="B97" s="31"/>
      <c r="C97" s="41">
        <f t="shared" ref="C97:I97" si="32">$B97*C44</f>
        <v>0</v>
      </c>
      <c r="D97" s="41">
        <f t="shared" si="32"/>
        <v>0</v>
      </c>
      <c r="E97" s="41">
        <f t="shared" si="32"/>
        <v>0</v>
      </c>
      <c r="F97" s="41">
        <f t="shared" si="32"/>
        <v>0</v>
      </c>
      <c r="G97" s="41">
        <f t="shared" si="32"/>
        <v>0</v>
      </c>
      <c r="H97" s="41">
        <f t="shared" si="32"/>
        <v>0</v>
      </c>
      <c r="I97" s="41">
        <f t="shared" si="32"/>
        <v>0</v>
      </c>
    </row>
    <row r="98" spans="1:9" x14ac:dyDescent="0.25">
      <c r="A98" s="17" t="str">
        <f t="shared" si="27"/>
        <v>Chilli</v>
      </c>
      <c r="B98" s="31"/>
      <c r="C98" s="41">
        <f t="shared" ref="C98:I98" si="33">$B98*C45</f>
        <v>0</v>
      </c>
      <c r="D98" s="41">
        <f t="shared" si="33"/>
        <v>0</v>
      </c>
      <c r="E98" s="41">
        <f t="shared" si="33"/>
        <v>0</v>
      </c>
      <c r="F98" s="41">
        <f t="shared" si="33"/>
        <v>0</v>
      </c>
      <c r="G98" s="41">
        <f t="shared" si="33"/>
        <v>0</v>
      </c>
      <c r="H98" s="41">
        <f t="shared" si="33"/>
        <v>0</v>
      </c>
      <c r="I98" s="41">
        <f t="shared" si="33"/>
        <v>0</v>
      </c>
    </row>
    <row r="99" spans="1:9" x14ac:dyDescent="0.25">
      <c r="A99" s="17" t="str">
        <f t="shared" si="27"/>
        <v>Potato</v>
      </c>
      <c r="B99" s="31"/>
      <c r="C99" s="41">
        <f t="shared" ref="C99:I99" si="34">$B99*C46</f>
        <v>0</v>
      </c>
      <c r="D99" s="41">
        <f t="shared" si="34"/>
        <v>0</v>
      </c>
      <c r="E99" s="41">
        <f t="shared" si="34"/>
        <v>0</v>
      </c>
      <c r="F99" s="41">
        <f t="shared" si="34"/>
        <v>0</v>
      </c>
      <c r="G99" s="41">
        <f t="shared" si="34"/>
        <v>0</v>
      </c>
      <c r="H99" s="41">
        <f t="shared" si="34"/>
        <v>0</v>
      </c>
      <c r="I99" s="41">
        <f t="shared" si="34"/>
        <v>0</v>
      </c>
    </row>
    <row r="100" spans="1:9" x14ac:dyDescent="0.25">
      <c r="A100" s="17" t="str">
        <f t="shared" si="27"/>
        <v>SWEET POTATO</v>
      </c>
      <c r="B100" s="31"/>
      <c r="C100" s="41">
        <f t="shared" ref="C100:I100" si="35">$B100*C47</f>
        <v>0</v>
      </c>
      <c r="D100" s="41">
        <f t="shared" si="35"/>
        <v>0</v>
      </c>
      <c r="E100" s="41">
        <f t="shared" si="35"/>
        <v>0</v>
      </c>
      <c r="F100" s="41">
        <f t="shared" si="35"/>
        <v>0</v>
      </c>
      <c r="G100" s="41">
        <f t="shared" si="35"/>
        <v>0</v>
      </c>
      <c r="H100" s="41">
        <f t="shared" si="35"/>
        <v>0</v>
      </c>
      <c r="I100" s="41">
        <f t="shared" si="35"/>
        <v>0</v>
      </c>
    </row>
    <row r="101" spans="1:9" x14ac:dyDescent="0.25">
      <c r="A101" s="17">
        <f t="shared" si="27"/>
        <v>0</v>
      </c>
      <c r="B101" s="31"/>
      <c r="C101" s="41">
        <f t="shared" ref="C101:I101" si="36">$B101*C48</f>
        <v>0</v>
      </c>
      <c r="D101" s="41">
        <f t="shared" si="36"/>
        <v>0</v>
      </c>
      <c r="E101" s="41">
        <f t="shared" si="36"/>
        <v>0</v>
      </c>
      <c r="F101" s="41">
        <f t="shared" si="36"/>
        <v>0</v>
      </c>
      <c r="G101" s="41">
        <f t="shared" si="36"/>
        <v>0</v>
      </c>
      <c r="H101" s="41">
        <f t="shared" si="36"/>
        <v>0</v>
      </c>
      <c r="I101" s="41">
        <f t="shared" si="36"/>
        <v>0</v>
      </c>
    </row>
    <row r="102" spans="1:9" x14ac:dyDescent="0.25">
      <c r="A102" s="17">
        <f t="shared" si="27"/>
        <v>0</v>
      </c>
      <c r="B102" s="31"/>
      <c r="C102" s="41">
        <f t="shared" ref="C102:I102" si="37">$B102*C49</f>
        <v>0</v>
      </c>
      <c r="D102" s="41">
        <f t="shared" si="37"/>
        <v>0</v>
      </c>
      <c r="E102" s="41">
        <f t="shared" si="37"/>
        <v>0</v>
      </c>
      <c r="F102" s="41">
        <f t="shared" si="37"/>
        <v>0</v>
      </c>
      <c r="G102" s="41">
        <f t="shared" si="37"/>
        <v>0</v>
      </c>
      <c r="H102" s="41">
        <f t="shared" si="37"/>
        <v>0</v>
      </c>
      <c r="I102" s="41">
        <f t="shared" si="37"/>
        <v>0</v>
      </c>
    </row>
    <row r="103" spans="1:9" x14ac:dyDescent="0.25">
      <c r="A103" s="17">
        <f t="shared" si="27"/>
        <v>0</v>
      </c>
      <c r="B103" s="31"/>
      <c r="C103" s="41">
        <f t="shared" ref="C103:I103" si="38">$B103*C50</f>
        <v>0</v>
      </c>
      <c r="D103" s="41">
        <f t="shared" si="38"/>
        <v>0</v>
      </c>
      <c r="E103" s="41">
        <f t="shared" si="38"/>
        <v>0</v>
      </c>
      <c r="F103" s="41">
        <f t="shared" si="38"/>
        <v>0</v>
      </c>
      <c r="G103" s="41">
        <f t="shared" si="38"/>
        <v>0</v>
      </c>
      <c r="H103" s="41">
        <f t="shared" si="38"/>
        <v>0</v>
      </c>
      <c r="I103" s="41">
        <f t="shared" si="38"/>
        <v>0</v>
      </c>
    </row>
    <row r="104" spans="1:9" x14ac:dyDescent="0.25">
      <c r="A104" s="17">
        <f t="shared" si="27"/>
        <v>0</v>
      </c>
      <c r="B104" s="31"/>
      <c r="C104" s="41">
        <f t="shared" ref="C104:I104" si="39">$B104*C51</f>
        <v>0</v>
      </c>
      <c r="D104" s="41">
        <f t="shared" si="39"/>
        <v>0</v>
      </c>
      <c r="E104" s="41">
        <f t="shared" si="39"/>
        <v>0</v>
      </c>
      <c r="F104" s="41">
        <f t="shared" si="39"/>
        <v>0</v>
      </c>
      <c r="G104" s="41">
        <f t="shared" si="39"/>
        <v>0</v>
      </c>
      <c r="H104" s="41">
        <f t="shared" si="39"/>
        <v>0</v>
      </c>
      <c r="I104" s="41">
        <f t="shared" si="39"/>
        <v>0</v>
      </c>
    </row>
    <row r="105" spans="1:9" x14ac:dyDescent="0.25">
      <c r="A105" s="17">
        <f t="shared" si="27"/>
        <v>0</v>
      </c>
      <c r="B105" s="31"/>
      <c r="C105" s="41">
        <f t="shared" ref="C105:I105" si="40">$B105*C52</f>
        <v>0</v>
      </c>
      <c r="D105" s="41">
        <f t="shared" si="40"/>
        <v>0</v>
      </c>
      <c r="E105" s="41">
        <f t="shared" si="40"/>
        <v>0</v>
      </c>
      <c r="F105" s="41">
        <f t="shared" si="40"/>
        <v>0</v>
      </c>
      <c r="G105" s="41">
        <f t="shared" si="40"/>
        <v>0</v>
      </c>
      <c r="H105" s="41">
        <f t="shared" si="40"/>
        <v>0</v>
      </c>
      <c r="I105" s="41">
        <f t="shared" si="40"/>
        <v>0</v>
      </c>
    </row>
    <row r="106" spans="1:9" x14ac:dyDescent="0.25">
      <c r="A106" s="17">
        <f t="shared" si="27"/>
        <v>0</v>
      </c>
      <c r="B106" s="31"/>
      <c r="C106" s="41">
        <f t="shared" ref="C106:I106" si="41">$B106*C53</f>
        <v>0</v>
      </c>
      <c r="D106" s="41">
        <f t="shared" si="41"/>
        <v>0</v>
      </c>
      <c r="E106" s="41">
        <f t="shared" si="41"/>
        <v>0</v>
      </c>
      <c r="F106" s="41">
        <f t="shared" si="41"/>
        <v>0</v>
      </c>
      <c r="G106" s="41">
        <f t="shared" si="41"/>
        <v>0</v>
      </c>
      <c r="H106" s="41">
        <f t="shared" si="41"/>
        <v>0</v>
      </c>
      <c r="I106" s="41">
        <f t="shared" si="41"/>
        <v>0</v>
      </c>
    </row>
    <row r="107" spans="1:9" x14ac:dyDescent="0.25">
      <c r="A107" s="17" t="str">
        <f t="shared" si="27"/>
        <v>Pomegranate</v>
      </c>
      <c r="B107" s="31"/>
      <c r="C107" s="41">
        <f t="shared" ref="C107:I107" si="42">$B107*C54</f>
        <v>0</v>
      </c>
      <c r="D107" s="41">
        <f t="shared" si="42"/>
        <v>0</v>
      </c>
      <c r="E107" s="41">
        <f t="shared" si="42"/>
        <v>0</v>
      </c>
      <c r="F107" s="41">
        <f t="shared" si="42"/>
        <v>0</v>
      </c>
      <c r="G107" s="41">
        <f t="shared" si="42"/>
        <v>0</v>
      </c>
      <c r="H107" s="41">
        <f t="shared" si="42"/>
        <v>0</v>
      </c>
      <c r="I107" s="41">
        <f t="shared" si="42"/>
        <v>0</v>
      </c>
    </row>
    <row r="108" spans="1:9" x14ac:dyDescent="0.25">
      <c r="A108" s="17" t="str">
        <f t="shared" si="27"/>
        <v>Custard Apple</v>
      </c>
      <c r="B108" s="31"/>
      <c r="C108" s="41">
        <f t="shared" ref="C108:I108" si="43">$B108*C55</f>
        <v>0</v>
      </c>
      <c r="D108" s="41">
        <f t="shared" si="43"/>
        <v>0</v>
      </c>
      <c r="E108" s="41">
        <f t="shared" si="43"/>
        <v>0</v>
      </c>
      <c r="F108" s="41">
        <f t="shared" si="43"/>
        <v>0</v>
      </c>
      <c r="G108" s="41">
        <f t="shared" si="43"/>
        <v>0</v>
      </c>
      <c r="H108" s="41">
        <f t="shared" si="43"/>
        <v>0</v>
      </c>
      <c r="I108" s="41">
        <f t="shared" si="43"/>
        <v>0</v>
      </c>
    </row>
    <row r="109" spans="1:9" x14ac:dyDescent="0.25">
      <c r="A109" s="17" t="str">
        <f t="shared" si="27"/>
        <v>Guava</v>
      </c>
      <c r="B109" s="31"/>
      <c r="C109" s="41">
        <f t="shared" ref="C109:I109" si="44">$B109*C56</f>
        <v>0</v>
      </c>
      <c r="D109" s="41">
        <f t="shared" si="44"/>
        <v>0</v>
      </c>
      <c r="E109" s="41">
        <f t="shared" si="44"/>
        <v>0</v>
      </c>
      <c r="F109" s="41">
        <f t="shared" si="44"/>
        <v>0</v>
      </c>
      <c r="G109" s="41">
        <f t="shared" si="44"/>
        <v>0</v>
      </c>
      <c r="H109" s="41">
        <f t="shared" si="44"/>
        <v>0</v>
      </c>
      <c r="I109" s="41">
        <f t="shared" si="44"/>
        <v>0</v>
      </c>
    </row>
    <row r="110" spans="1:9" x14ac:dyDescent="0.25">
      <c r="A110" s="17" t="str">
        <f t="shared" si="27"/>
        <v>CASHEW</v>
      </c>
      <c r="B110" s="31"/>
      <c r="C110" s="41">
        <f t="shared" ref="C110:I110" si="45">$B110*C57</f>
        <v>0</v>
      </c>
      <c r="D110" s="41">
        <f t="shared" si="45"/>
        <v>0</v>
      </c>
      <c r="E110" s="41">
        <f t="shared" si="45"/>
        <v>0</v>
      </c>
      <c r="F110" s="41">
        <f t="shared" si="45"/>
        <v>0</v>
      </c>
      <c r="G110" s="41">
        <f t="shared" si="45"/>
        <v>0</v>
      </c>
      <c r="H110" s="41">
        <f t="shared" si="45"/>
        <v>0</v>
      </c>
      <c r="I110" s="41">
        <f t="shared" si="45"/>
        <v>0</v>
      </c>
    </row>
    <row r="111" spans="1:9" x14ac:dyDescent="0.25">
      <c r="A111" s="17"/>
      <c r="B111" s="31"/>
      <c r="C111" s="41"/>
      <c r="D111" s="41"/>
      <c r="E111" s="41"/>
      <c r="F111" s="41"/>
      <c r="G111" s="41"/>
      <c r="H111" s="41"/>
      <c r="I111" s="41"/>
    </row>
    <row r="112" spans="1:9" x14ac:dyDescent="0.25">
      <c r="A112" s="17"/>
      <c r="B112" s="31"/>
      <c r="C112" s="41"/>
      <c r="D112" s="41"/>
      <c r="E112" s="41"/>
      <c r="F112" s="41"/>
      <c r="G112" s="41"/>
      <c r="H112" s="41"/>
      <c r="I112" s="41"/>
    </row>
    <row r="113" spans="1:10" x14ac:dyDescent="0.25">
      <c r="A113" s="38" t="s">
        <v>181</v>
      </c>
      <c r="B113" s="17"/>
      <c r="C113" s="17"/>
      <c r="D113" s="17"/>
      <c r="E113" s="17"/>
      <c r="F113" s="17"/>
      <c r="G113" s="17"/>
      <c r="H113" s="17"/>
      <c r="I113" s="17"/>
    </row>
    <row r="114" spans="1:10" x14ac:dyDescent="0.25">
      <c r="A114" s="17" t="s">
        <v>398</v>
      </c>
      <c r="B114" s="31">
        <v>100</v>
      </c>
      <c r="C114" s="41">
        <f>SUM(C62:C110)*$B$114</f>
        <v>0</v>
      </c>
      <c r="D114" s="41">
        <f t="shared" ref="D114:I114" si="46">SUM(D62:D110)*$B$114</f>
        <v>0</v>
      </c>
      <c r="E114" s="41">
        <f t="shared" si="46"/>
        <v>0</v>
      </c>
      <c r="F114" s="41">
        <f t="shared" si="46"/>
        <v>0</v>
      </c>
      <c r="G114" s="41">
        <f t="shared" si="46"/>
        <v>0</v>
      </c>
      <c r="H114" s="41">
        <f t="shared" si="46"/>
        <v>0</v>
      </c>
      <c r="I114" s="41">
        <f t="shared" si="46"/>
        <v>0</v>
      </c>
    </row>
    <row r="115" spans="1:10" x14ac:dyDescent="0.25">
      <c r="A115" s="17" t="s">
        <v>175</v>
      </c>
      <c r="B115" s="31">
        <v>30</v>
      </c>
      <c r="C115" s="41">
        <f>SUM(C62:C110)*$B$115</f>
        <v>0</v>
      </c>
      <c r="D115" s="41">
        <f t="shared" ref="D115:I115" si="47">SUM(D62:D110)*$B$115</f>
        <v>0</v>
      </c>
      <c r="E115" s="41">
        <f t="shared" si="47"/>
        <v>0</v>
      </c>
      <c r="F115" s="41">
        <f t="shared" si="47"/>
        <v>0</v>
      </c>
      <c r="G115" s="41">
        <f t="shared" si="47"/>
        <v>0</v>
      </c>
      <c r="H115" s="41">
        <f t="shared" si="47"/>
        <v>0</v>
      </c>
      <c r="I115" s="41">
        <f t="shared" si="47"/>
        <v>0</v>
      </c>
    </row>
    <row r="116" spans="1:10" x14ac:dyDescent="0.25">
      <c r="A116" s="17" t="s">
        <v>177</v>
      </c>
      <c r="B116" s="31">
        <v>30</v>
      </c>
      <c r="C116" s="41">
        <f>SUM(C62:C110)*$B$116</f>
        <v>0</v>
      </c>
      <c r="D116" s="41">
        <f t="shared" ref="D116:I116" si="48">SUM(D62:D110)*$B$116</f>
        <v>0</v>
      </c>
      <c r="E116" s="41">
        <f t="shared" si="48"/>
        <v>0</v>
      </c>
      <c r="F116" s="41">
        <f t="shared" si="48"/>
        <v>0</v>
      </c>
      <c r="G116" s="41">
        <f t="shared" si="48"/>
        <v>0</v>
      </c>
      <c r="H116" s="41">
        <f t="shared" si="48"/>
        <v>0</v>
      </c>
      <c r="I116" s="41">
        <f t="shared" si="48"/>
        <v>0</v>
      </c>
    </row>
    <row r="117" spans="1:10" x14ac:dyDescent="0.25">
      <c r="A117" s="38" t="s">
        <v>176</v>
      </c>
      <c r="B117" s="31"/>
      <c r="C117" s="17"/>
      <c r="D117" s="17"/>
      <c r="E117" s="17"/>
      <c r="F117" s="17"/>
      <c r="G117" s="17"/>
      <c r="H117" s="17"/>
      <c r="I117" s="17"/>
    </row>
    <row r="118" spans="1:10" x14ac:dyDescent="0.25">
      <c r="A118" s="17" t="s">
        <v>182</v>
      </c>
      <c r="B118" s="31">
        <v>0.2</v>
      </c>
      <c r="C118" s="41">
        <f>SUM(C62:C110)*$B$118</f>
        <v>0</v>
      </c>
      <c r="D118" s="41">
        <f t="shared" ref="D118:I118" si="49">SUM(D62:D110)*$B$118</f>
        <v>0</v>
      </c>
      <c r="E118" s="41">
        <f t="shared" si="49"/>
        <v>0</v>
      </c>
      <c r="F118" s="41">
        <f t="shared" si="49"/>
        <v>0</v>
      </c>
      <c r="G118" s="41">
        <f t="shared" si="49"/>
        <v>0</v>
      </c>
      <c r="H118" s="41">
        <f t="shared" si="49"/>
        <v>0</v>
      </c>
      <c r="I118" s="41">
        <f t="shared" si="49"/>
        <v>0</v>
      </c>
    </row>
    <row r="119" spans="1:10" x14ac:dyDescent="0.25">
      <c r="A119" s="17" t="s">
        <v>183</v>
      </c>
      <c r="B119" s="31">
        <v>0.5</v>
      </c>
      <c r="C119" s="41">
        <f>SUM(C62:C110)*$B$119</f>
        <v>0</v>
      </c>
      <c r="D119" s="41">
        <f t="shared" ref="D119:I119" si="50">SUM(D62:D110)*$B$119</f>
        <v>0</v>
      </c>
      <c r="E119" s="41">
        <f t="shared" si="50"/>
        <v>0</v>
      </c>
      <c r="F119" s="41">
        <f t="shared" si="50"/>
        <v>0</v>
      </c>
      <c r="G119" s="41">
        <f t="shared" si="50"/>
        <v>0</v>
      </c>
      <c r="H119" s="41">
        <f t="shared" si="50"/>
        <v>0</v>
      </c>
      <c r="I119" s="41">
        <f t="shared" si="50"/>
        <v>0</v>
      </c>
    </row>
    <row r="122" spans="1:10" x14ac:dyDescent="0.25">
      <c r="A122" s="625" t="s">
        <v>575</v>
      </c>
      <c r="B122" s="625"/>
      <c r="C122" s="625"/>
      <c r="D122" s="625"/>
      <c r="E122" s="625"/>
      <c r="F122" s="625"/>
      <c r="G122" s="625"/>
      <c r="H122" s="625"/>
      <c r="I122" s="625"/>
      <c r="J122" s="625"/>
    </row>
    <row r="123" spans="1:10" x14ac:dyDescent="0.25">
      <c r="A123" s="25"/>
      <c r="B123" s="25"/>
      <c r="C123" s="25"/>
      <c r="D123" s="25"/>
      <c r="E123" s="25"/>
      <c r="F123" s="25"/>
      <c r="G123" s="25"/>
      <c r="H123" s="25"/>
    </row>
    <row r="124" spans="1:10" x14ac:dyDescent="0.25">
      <c r="A124" s="25"/>
      <c r="B124" s="25"/>
      <c r="C124" s="25"/>
      <c r="D124" s="26">
        <v>1</v>
      </c>
      <c r="E124" s="27">
        <f>(D124*5%)+D124</f>
        <v>1.05</v>
      </c>
      <c r="F124" s="27">
        <f t="shared" ref="F124:J124" si="51">(E124*5%)+E124</f>
        <v>1.1025</v>
      </c>
      <c r="G124" s="27">
        <f t="shared" si="51"/>
        <v>1.1576250000000001</v>
      </c>
      <c r="H124" s="27">
        <f t="shared" si="51"/>
        <v>1.2155062500000002</v>
      </c>
      <c r="I124" s="27">
        <f t="shared" si="51"/>
        <v>1.2762815625000004</v>
      </c>
      <c r="J124" s="27">
        <f t="shared" si="51"/>
        <v>1.3400956406250004</v>
      </c>
    </row>
    <row r="126" spans="1:10" x14ac:dyDescent="0.25">
      <c r="A126" s="28" t="s">
        <v>0</v>
      </c>
      <c r="B126" s="28" t="s">
        <v>130</v>
      </c>
      <c r="C126" s="28" t="s">
        <v>149</v>
      </c>
      <c r="D126" s="29" t="s">
        <v>2</v>
      </c>
      <c r="E126" s="29" t="s">
        <v>3</v>
      </c>
      <c r="F126" s="29" t="s">
        <v>4</v>
      </c>
      <c r="G126" s="29" t="s">
        <v>5</v>
      </c>
      <c r="H126" s="29" t="s">
        <v>6</v>
      </c>
      <c r="I126" s="29" t="s">
        <v>165</v>
      </c>
      <c r="J126" s="29" t="s">
        <v>164</v>
      </c>
    </row>
    <row r="127" spans="1:10" x14ac:dyDescent="0.25">
      <c r="A127" s="9" t="s">
        <v>126</v>
      </c>
      <c r="B127" s="3"/>
      <c r="C127" s="3"/>
      <c r="D127" s="3"/>
      <c r="E127" s="3"/>
      <c r="F127" s="3"/>
      <c r="G127" s="3"/>
      <c r="H127" s="3"/>
      <c r="I127" s="3"/>
      <c r="J127" s="3"/>
    </row>
    <row r="128" spans="1:10" x14ac:dyDescent="0.25">
      <c r="A128" s="3" t="s">
        <v>282</v>
      </c>
      <c r="B128" s="3"/>
      <c r="C128" s="3"/>
      <c r="D128" s="3"/>
      <c r="E128" s="3"/>
      <c r="F128" s="3"/>
      <c r="G128" s="3"/>
      <c r="H128" s="3"/>
      <c r="I128" s="3"/>
      <c r="J128" s="3"/>
    </row>
    <row r="129" spans="1:21" x14ac:dyDescent="0.25">
      <c r="A129" s="9" t="str">
        <f t="shared" ref="A129:A160" si="52">A8</f>
        <v>Kharif Crops</v>
      </c>
      <c r="B129" s="3"/>
      <c r="C129" s="3"/>
      <c r="D129" s="3"/>
      <c r="E129" s="3"/>
      <c r="F129" s="3"/>
      <c r="G129" s="3"/>
      <c r="H129" s="3"/>
      <c r="I129" s="3"/>
      <c r="J129" s="3"/>
    </row>
    <row r="130" spans="1:21" x14ac:dyDescent="0.25">
      <c r="A130" s="3" t="str">
        <f t="shared" si="52"/>
        <v>Soybean</v>
      </c>
      <c r="B130" s="3"/>
      <c r="C130" s="31">
        <v>90</v>
      </c>
      <c r="D130" s="5">
        <f>(C62*(1-'Stock WC'!$D$15))*$C$130*D$124</f>
        <v>0</v>
      </c>
      <c r="E130" s="5">
        <f>(D62*(1-'Stock WC'!$D$15))*$C$130*E$124</f>
        <v>0</v>
      </c>
      <c r="F130" s="5">
        <f>(E62*(1-'Stock WC'!$D$15))*$C$130*F$124</f>
        <v>0</v>
      </c>
      <c r="G130" s="5">
        <f>(F62*(1-'Stock WC'!$D$15))*$C$130*G$124</f>
        <v>0</v>
      </c>
      <c r="H130" s="5">
        <f>(G62*(1-'Stock WC'!$D$15))*$C$130*H$124</f>
        <v>0</v>
      </c>
      <c r="I130" s="5">
        <f>(H62*(1-'Stock WC'!$D$15))*$C$130*I$124</f>
        <v>0</v>
      </c>
      <c r="J130" s="5">
        <f>(I62*(1-'Stock WC'!$D$15))*$C$130*J$124</f>
        <v>0</v>
      </c>
    </row>
    <row r="131" spans="1:21" x14ac:dyDescent="0.25">
      <c r="A131" s="3" t="str">
        <f t="shared" si="52"/>
        <v>Red Gram/Tur</v>
      </c>
      <c r="B131" s="3"/>
      <c r="C131" s="32">
        <v>80</v>
      </c>
      <c r="D131" s="5">
        <f>(C63*(1-'Stock WC'!$D$15))*$C$131*D$124</f>
        <v>0</v>
      </c>
      <c r="E131" s="5">
        <f>((D63*(1-'Stock WC'!$D$15))+(C63*'Stock WC'!$D$15))*$C$131*E$124</f>
        <v>0</v>
      </c>
      <c r="F131" s="5">
        <f>((E63*(1-'Stock WC'!$D$15))+(D63*'Stock WC'!$D$15))*$C$131*F$124</f>
        <v>0</v>
      </c>
      <c r="G131" s="5">
        <f>((F63*(1-'Stock WC'!$D$15))+(E63*'Stock WC'!$D$15))*$C$131*G124</f>
        <v>0</v>
      </c>
      <c r="H131" s="5">
        <f>((G63*(1-'Stock WC'!$D$15))+(F63*'Stock WC'!$D$15))*$C$131*H124</f>
        <v>0</v>
      </c>
      <c r="I131" s="5">
        <f>((H63*(1-'Stock WC'!$D$15))+(G63*'Stock WC'!$D$15))*$C$131*I124</f>
        <v>0</v>
      </c>
      <c r="J131" s="5">
        <f>((I63*(1-'Stock WC'!$D$15))+(H63*'Stock WC'!$D$15))*$C$131*J124</f>
        <v>0</v>
      </c>
      <c r="U131" s="8"/>
    </row>
    <row r="132" spans="1:21" x14ac:dyDescent="0.25">
      <c r="A132" s="3" t="str">
        <f t="shared" si="52"/>
        <v>Paddy/Rice</v>
      </c>
      <c r="B132" s="3"/>
      <c r="C132" s="32">
        <v>65</v>
      </c>
      <c r="D132" s="5">
        <f>(C64*(1-'Stock WC'!$D$15))*$C$132*D$124</f>
        <v>0</v>
      </c>
      <c r="E132" s="5">
        <f>((D64*(1-'Stock WC'!$D$15))+(C64*'Stock WC'!$D$15))*$C$132*E$124</f>
        <v>0</v>
      </c>
      <c r="F132" s="5">
        <f>((E64*(1-'Stock WC'!$D$15))+(D64*'Stock WC'!$D$15))*$C$132*F$124</f>
        <v>0</v>
      </c>
      <c r="G132" s="5">
        <f>((F64*(1-'Stock WC'!$D$15))+(E64*'Stock WC'!$D$15))*$C$132*G124</f>
        <v>0</v>
      </c>
      <c r="H132" s="5">
        <f>((G64*(1-'Stock WC'!$D$15))+(F64*'Stock WC'!$D$15))*$C$132*H124</f>
        <v>0</v>
      </c>
      <c r="I132" s="5">
        <f>((H64*(1-'Stock WC'!$D$15))+(G64*'Stock WC'!$D$15))*$C$132*I124</f>
        <v>0</v>
      </c>
      <c r="J132" s="5">
        <f>((I64*(1-'Stock WC'!$D$15))+(H64*'Stock WC'!$D$15))*$C$132*J124</f>
        <v>0</v>
      </c>
    </row>
    <row r="133" spans="1:21" x14ac:dyDescent="0.25">
      <c r="A133" s="3" t="str">
        <f t="shared" si="52"/>
        <v>Masoor/ Moong</v>
      </c>
      <c r="B133" s="3"/>
      <c r="C133" s="32">
        <v>85</v>
      </c>
      <c r="D133" s="5">
        <f>(C65*(1-'Stock WC'!$D$15))*$C$133*D$124</f>
        <v>0</v>
      </c>
      <c r="E133" s="5">
        <f>((D65*(1-'Stock WC'!$D$15))+(C65*'Stock WC'!$D$15))*$C$133*E$124</f>
        <v>0</v>
      </c>
      <c r="F133" s="5">
        <f>((E65*(1-'Stock WC'!$D$15))+(D65*'Stock WC'!$D$15))*$C$133*F$124</f>
        <v>0</v>
      </c>
      <c r="G133" s="5">
        <f>((F65*(1-'Stock WC'!$D$15))+(E65*'Stock WC'!$D$15))*$C$133*G$124</f>
        <v>0</v>
      </c>
      <c r="H133" s="5">
        <f>((G65*(1-'Stock WC'!$D$15))+(F65*'Stock WC'!$D$15))*$C$133*H$124</f>
        <v>0</v>
      </c>
      <c r="I133" s="5">
        <f>((H65*(1-'Stock WC'!$D$15))+(G65*'Stock WC'!$D$15))*$C$133*I$124</f>
        <v>0</v>
      </c>
      <c r="J133" s="5">
        <f>((I65*(1-'Stock WC'!$D$15))+(H65*'Stock WC'!$D$15))*$C$133*J$124</f>
        <v>0</v>
      </c>
    </row>
    <row r="134" spans="1:21" x14ac:dyDescent="0.25">
      <c r="A134" s="3" t="str">
        <f t="shared" si="52"/>
        <v>Sweet Potato</v>
      </c>
      <c r="B134" s="3"/>
      <c r="C134" s="32">
        <v>37</v>
      </c>
      <c r="D134" s="5">
        <f>(C66*(1-'Stock WC'!$D$15))*$C$134*D$124</f>
        <v>0</v>
      </c>
      <c r="E134" s="5">
        <f>((D66*(1-'Stock WC'!$D$15))+(C66*'Stock WC'!$D$15))*$C$135*E$124</f>
        <v>0</v>
      </c>
      <c r="F134" s="5">
        <f>((E66*(1-'Stock WC'!$D$15))+(D66*'Stock WC'!$D$15))*$C$135*F$124</f>
        <v>0</v>
      </c>
      <c r="G134" s="5">
        <f>((F66*(1-'Stock WC'!$D$15))+(E66*'Stock WC'!$D$15))*$C$135*G$124</f>
        <v>0</v>
      </c>
      <c r="H134" s="5">
        <f>((G66*(1-'Stock WC'!$D$15))+(F66*'Stock WC'!$D$15))*$C$135*H$124</f>
        <v>0</v>
      </c>
      <c r="I134" s="5">
        <f>((H66*(1-'Stock WC'!$D$15))+(G66*'Stock WC'!$D$15))*$C$135*I$124</f>
        <v>0</v>
      </c>
      <c r="J134" s="5">
        <f>((I66*(1-'Stock WC'!$D$15))+(H66*'Stock WC'!$D$15))*$C$135*J$124</f>
        <v>0</v>
      </c>
    </row>
    <row r="135" spans="1:21" x14ac:dyDescent="0.25">
      <c r="A135" s="3" t="str">
        <f t="shared" si="52"/>
        <v>Black Gram/Udid</v>
      </c>
      <c r="B135" s="3"/>
      <c r="C135" s="32">
        <v>75</v>
      </c>
      <c r="D135" s="5">
        <f>(C67*(1-'Stock WC'!$D$15))*$C$135*D$124</f>
        <v>0</v>
      </c>
      <c r="E135" s="5">
        <f>((D67*(1-'Stock WC'!$D$15))+(C67*'Stock WC'!$D$15))*$C$135*E$124</f>
        <v>0</v>
      </c>
      <c r="F135" s="5">
        <f>((E67*(1-'Stock WC'!$D$15))+(D67*'Stock WC'!$D$15))*$C$135*F$124</f>
        <v>0</v>
      </c>
      <c r="G135" s="5">
        <f>((F67*(1-'Stock WC'!$D$15))+(E67*'Stock WC'!$D$15))*$C$135*G$124</f>
        <v>0</v>
      </c>
      <c r="H135" s="5">
        <f>((G67*(1-'Stock WC'!$D$15))+(F67*'Stock WC'!$D$15))*$C$135*H$124</f>
        <v>0</v>
      </c>
      <c r="I135" s="5">
        <f>((H67*(1-'Stock WC'!$D$15))+(G67*'Stock WC'!$D$15))*$C$135*I$124</f>
        <v>0</v>
      </c>
      <c r="J135" s="5">
        <f>((I67*(1-'Stock WC'!$D$15))+(H67*'Stock WC'!$D$15))*$C$135*J$124</f>
        <v>0</v>
      </c>
    </row>
    <row r="136" spans="1:21" x14ac:dyDescent="0.25">
      <c r="A136" s="3" t="str">
        <f t="shared" si="52"/>
        <v>RAGI</v>
      </c>
      <c r="B136" s="3"/>
      <c r="C136" s="32">
        <v>30</v>
      </c>
      <c r="D136" s="5">
        <f>(C68*(1-'Stock WC'!$D$15))*$C$136*D$124</f>
        <v>0</v>
      </c>
      <c r="E136" s="5">
        <f>((D68*(1-'Stock WC'!$D$15))+(C68*'Stock WC'!$D$15))*$C$136*E$124</f>
        <v>0</v>
      </c>
      <c r="F136" s="5">
        <f>((E68*(1-'Stock WC'!$D$15))+(D68*'Stock WC'!$D$15))*$C$136*F$124</f>
        <v>0</v>
      </c>
      <c r="G136" s="5">
        <f>((F68*(1-'Stock WC'!$D$15))+(E68*'Stock WC'!$D$15))*$C$136*G$124</f>
        <v>0</v>
      </c>
      <c r="H136" s="5">
        <f>((G68*(1-'Stock WC'!$D$15))+(F68*'Stock WC'!$D$15))*$C$136*H$124</f>
        <v>0</v>
      </c>
      <c r="I136" s="5">
        <f>((H68*(1-'Stock WC'!$D$15))+(G68*'Stock WC'!$D$15))*$C$136*I$124</f>
        <v>0</v>
      </c>
      <c r="J136" s="5">
        <f>((I68*(1-'Stock WC'!$D$15))+(H68*'Stock WC'!$D$15))*$C$136*J$124</f>
        <v>0</v>
      </c>
    </row>
    <row r="137" spans="1:21" x14ac:dyDescent="0.25">
      <c r="A137" s="3" t="str">
        <f t="shared" si="52"/>
        <v>Jawar</v>
      </c>
      <c r="B137" s="3"/>
      <c r="C137" s="32">
        <v>30</v>
      </c>
      <c r="D137" s="5">
        <f>(C69*(1-'Stock WC'!$D$15))*$C$137*D$124</f>
        <v>0</v>
      </c>
      <c r="E137" s="5">
        <f>((D69*(1-'Stock WC'!$D$15))+(C69*'Stock WC'!$D$15))*$C$137*E$124</f>
        <v>0</v>
      </c>
      <c r="F137" s="5">
        <f>((E69*(1-'Stock WC'!$D$15))+(D69*'Stock WC'!$D$15))*$C$137*F$124</f>
        <v>0</v>
      </c>
      <c r="G137" s="5">
        <f>((F69*(1-'Stock WC'!$D$15))+(E69*'Stock WC'!$D$15))*$C$137*G$124</f>
        <v>0</v>
      </c>
      <c r="H137" s="5">
        <f>((G69*(1-'Stock WC'!$D$15))+(F69*'Stock WC'!$D$15))*$C$137*H$124</f>
        <v>0</v>
      </c>
      <c r="I137" s="5">
        <f>((H69*(1-'Stock WC'!$D$15))+(G69*'Stock WC'!$D$15))*$C$137*I$124</f>
        <v>0</v>
      </c>
      <c r="J137" s="5">
        <f>((I69*(1-'Stock WC'!$D$15))+(H69*'Stock WC'!$D$15))*$C$137*J$124</f>
        <v>0</v>
      </c>
    </row>
    <row r="138" spans="1:21" x14ac:dyDescent="0.25">
      <c r="A138" s="9" t="str">
        <f t="shared" si="52"/>
        <v>Rabi Crop</v>
      </c>
      <c r="B138" s="3"/>
      <c r="C138" s="32"/>
      <c r="D138" s="5"/>
      <c r="E138" s="5"/>
      <c r="F138" s="5"/>
      <c r="G138" s="5"/>
      <c r="H138" s="5"/>
      <c r="I138" s="5"/>
      <c r="J138" s="5"/>
    </row>
    <row r="139" spans="1:21" x14ac:dyDescent="0.25">
      <c r="A139" s="3" t="str">
        <f t="shared" si="52"/>
        <v>Wheat</v>
      </c>
      <c r="B139" s="3"/>
      <c r="C139" s="32">
        <v>40</v>
      </c>
      <c r="D139" s="5">
        <f>(C71*(1-'Stock WC'!$D$15))*$C$139*D$124</f>
        <v>0</v>
      </c>
      <c r="E139" s="5">
        <f>((D71*(1-'Stock WC'!$D$15))+(C71*'Stock WC'!$D$15))*$C$139*E$124</f>
        <v>0</v>
      </c>
      <c r="F139" s="5">
        <f>((E71*(1-'Stock WC'!$D$15))+(D71*'Stock WC'!$D$15))*$C$139*F$124</f>
        <v>0</v>
      </c>
      <c r="G139" s="5">
        <f>((F71*(1-'Stock WC'!$D$15))+(E71*'Stock WC'!$D$15))*$C$139*G$124</f>
        <v>0</v>
      </c>
      <c r="H139" s="5">
        <f>((G71*(1-'Stock WC'!$D$15))+(F71*'Stock WC'!$D$15))*$C$139*H$124</f>
        <v>0</v>
      </c>
      <c r="I139" s="5">
        <f>((H71*(1-'Stock WC'!$D$15))+(G71*'Stock WC'!$D$15))*$C$139*I$124</f>
        <v>0</v>
      </c>
      <c r="J139" s="5">
        <f>((I71*(1-'Stock WC'!$D$15))+(H71*'Stock WC'!$D$15))*$C$139*J$124</f>
        <v>0</v>
      </c>
    </row>
    <row r="140" spans="1:21" x14ac:dyDescent="0.25">
      <c r="A140" s="3" t="str">
        <f t="shared" si="52"/>
        <v>Bengal Gram/Channa</v>
      </c>
      <c r="B140" s="3"/>
      <c r="C140" s="32">
        <v>75</v>
      </c>
      <c r="D140" s="5">
        <f>(C72*(1-'Stock WC'!$D$15))*$C$140*D$124</f>
        <v>0</v>
      </c>
      <c r="E140" s="5">
        <f>((D72*(1-'Stock WC'!$D$15))+(C72*'Stock WC'!$D$15))*$C$140*E$124</f>
        <v>0</v>
      </c>
      <c r="F140" s="5">
        <f>((E72*(1-'Stock WC'!$D$15))+(D72*'Stock WC'!$D$15))*$C$140*F$124</f>
        <v>0</v>
      </c>
      <c r="G140" s="5">
        <f>((F72*(1-'Stock WC'!$D$15))+(E72*'Stock WC'!$D$15))*$C$140*G$124</f>
        <v>0</v>
      </c>
      <c r="H140" s="5">
        <f>((G72*(1-'Stock WC'!$D$15))+(F72*'Stock WC'!$D$15))*$C$140*H$124</f>
        <v>0</v>
      </c>
      <c r="I140" s="5">
        <f>((H72*(1-'Stock WC'!$D$15))+(G72*'Stock WC'!$D$15))*$C$140*I$124</f>
        <v>0</v>
      </c>
      <c r="J140" s="5">
        <f>((I72*(1-'Stock WC'!$D$15))+(H72*'Stock WC'!$D$15))*$C$140*J$124</f>
        <v>0</v>
      </c>
    </row>
    <row r="141" spans="1:21" x14ac:dyDescent="0.25">
      <c r="A141" s="3" t="str">
        <f t="shared" si="52"/>
        <v>Jawar</v>
      </c>
      <c r="B141" s="3"/>
      <c r="C141" s="32">
        <v>27</v>
      </c>
      <c r="D141" s="5">
        <f>(C73*(1-'Stock WC'!$D$15))*$C$141*D$124</f>
        <v>0</v>
      </c>
      <c r="E141" s="5">
        <f>((D73*(1-'Stock WC'!$D$15))+(C73*'Stock WC'!$D$15))*$C$141*E$124</f>
        <v>0</v>
      </c>
      <c r="F141" s="5">
        <f>((E73*(1-'Stock WC'!$D$15))+(D73*'Stock WC'!$D$15))*$C$141*F$124</f>
        <v>0</v>
      </c>
      <c r="G141" s="5">
        <f>((F73*(1-'Stock WC'!$D$15))+(E73*'Stock WC'!$D$15))*$C$141*G$124</f>
        <v>0</v>
      </c>
      <c r="H141" s="5">
        <f>((G73*(1-'Stock WC'!$D$15))+(F73*'Stock WC'!$D$15))*$C$141*H$124</f>
        <v>0</v>
      </c>
      <c r="I141" s="5">
        <f>((H73*(1-'Stock WC'!$D$15))+(G73*'Stock WC'!$D$15))*$C$141*I$124</f>
        <v>0</v>
      </c>
      <c r="J141" s="5">
        <f>((I73*(1-'Stock WC'!$D$15))+(H73*'Stock WC'!$D$15))*$C$141*J$124</f>
        <v>0</v>
      </c>
    </row>
    <row r="142" spans="1:21" x14ac:dyDescent="0.25">
      <c r="A142" s="3" t="str">
        <f t="shared" si="52"/>
        <v>Sweet Potato</v>
      </c>
      <c r="B142" s="3"/>
      <c r="C142" s="32">
        <v>27</v>
      </c>
      <c r="D142" s="5">
        <f>(C74*(1-'Stock WC'!$D$15))*$C$142*D$124</f>
        <v>0</v>
      </c>
      <c r="E142" s="5">
        <f>((D74*(1-'Stock WC'!$D$15))+(C74*'Stock WC'!$D$15))*$C$142*E$124</f>
        <v>0</v>
      </c>
      <c r="F142" s="5">
        <f>((E74*(1-'Stock WC'!$D$15))+(D74*'Stock WC'!$D$15))*$C$142*F$124</f>
        <v>0</v>
      </c>
      <c r="G142" s="5">
        <f>((F74*(1-'Stock WC'!$D$15))+(E74*'Stock WC'!$D$15))*$C$142*G$124</f>
        <v>0</v>
      </c>
      <c r="H142" s="5">
        <f>((G74*(1-'Stock WC'!$D$15))+(F74*'Stock WC'!$D$15))*$C$142*H$124</f>
        <v>0</v>
      </c>
      <c r="I142" s="5">
        <f>((H74*(1-'Stock WC'!$D$15))+(G74*'Stock WC'!$D$15))*$C$142*I$124</f>
        <v>0</v>
      </c>
      <c r="J142" s="5">
        <f>((I74*(1-'Stock WC'!$D$15))+(H74*'Stock WC'!$D$15))*$C$142*J$124</f>
        <v>0</v>
      </c>
    </row>
    <row r="143" spans="1:21" x14ac:dyDescent="0.25">
      <c r="A143" s="3" t="str">
        <f t="shared" si="52"/>
        <v>Safflower</v>
      </c>
      <c r="B143" s="3"/>
      <c r="C143" s="32"/>
      <c r="D143" s="5">
        <f>(C75*(1-'Stock WC'!$D$15))*$C$143*D$124</f>
        <v>0</v>
      </c>
      <c r="E143" s="5">
        <f>((D75*(1-'Stock WC'!$D$15))+(C75*'Stock WC'!$D$15))*$C$143*E$124</f>
        <v>0</v>
      </c>
      <c r="F143" s="5">
        <f>((E75*(1-'Stock WC'!$D$15))+(D75*'Stock WC'!$D$15))*$C$143*F$124</f>
        <v>0</v>
      </c>
      <c r="G143" s="5">
        <f>((F75*(1-'Stock WC'!$D$15))+(E75*'Stock WC'!$D$15))*$C$143*G$124</f>
        <v>0</v>
      </c>
      <c r="H143" s="5">
        <f>((G75*(1-'Stock WC'!$D$15))+(F75*'Stock WC'!$D$15))*$C$143*H$124</f>
        <v>0</v>
      </c>
      <c r="I143" s="5">
        <f>((H75*(1-'Stock WC'!$D$15))+(G75*'Stock WC'!$D$15))*$C$143*I$124</f>
        <v>0</v>
      </c>
      <c r="J143" s="5">
        <f>((I75*(1-'Stock WC'!$D$15))+(H75*'Stock WC'!$D$15))*$C$143*J$124</f>
        <v>0</v>
      </c>
    </row>
    <row r="144" spans="1:21" x14ac:dyDescent="0.25">
      <c r="A144" s="3">
        <f t="shared" si="52"/>
        <v>0</v>
      </c>
      <c r="B144" s="3"/>
      <c r="C144" s="32"/>
      <c r="D144" s="5">
        <f>(C76*(1-'Stock WC'!$D$15))*$C$144*D$124</f>
        <v>0</v>
      </c>
      <c r="E144" s="5">
        <f>((D76*(1-'Stock WC'!$D$15))+(C76*'Stock WC'!$D$15))*$C$144*E$124</f>
        <v>0</v>
      </c>
      <c r="F144" s="5">
        <f>((E76*(1-'Stock WC'!$D$15))+(D76*'Stock WC'!$D$15))*$C$144*F$124</f>
        <v>0</v>
      </c>
      <c r="G144" s="5">
        <f>((F76*(1-'Stock WC'!$D$15))+(E76*'Stock WC'!$D$15))*$C$144*G$124</f>
        <v>0</v>
      </c>
      <c r="H144" s="5">
        <f>((G76*(1-'Stock WC'!$D$15))+(F76*'Stock WC'!$D$15))*$C$144*H$124</f>
        <v>0</v>
      </c>
      <c r="I144" s="5">
        <f>((H76*(1-'Stock WC'!$D$15))+(G76*'Stock WC'!$D$15))*$C$144*I$124</f>
        <v>0</v>
      </c>
      <c r="J144" s="5">
        <f>((I76*(1-'Stock WC'!$D$15))+(H76*'Stock WC'!$D$15))*$C$144*J$124</f>
        <v>0</v>
      </c>
    </row>
    <row r="145" spans="1:10" x14ac:dyDescent="0.25">
      <c r="A145" s="3">
        <f t="shared" si="52"/>
        <v>0</v>
      </c>
      <c r="B145" s="3"/>
      <c r="C145" s="32"/>
      <c r="D145" s="5">
        <f>(C77*(1-'Stock WC'!$D$15))*$C$145*D$124</f>
        <v>0</v>
      </c>
      <c r="E145" s="5">
        <f>((D77*(1-'Stock WC'!$D$15))+(C77*'Stock WC'!$D$15))*$C$145*E$124</f>
        <v>0</v>
      </c>
      <c r="F145" s="5">
        <f>((E77*(1-'Stock WC'!$D$15))+(D77*'Stock WC'!$D$15))*$C$145*F$124</f>
        <v>0</v>
      </c>
      <c r="G145" s="5">
        <f>((F77*(1-'Stock WC'!$D$15))+(E77*'Stock WC'!$D$15))*$C$145*G$124</f>
        <v>0</v>
      </c>
      <c r="H145" s="5">
        <f>((G77*(1-'Stock WC'!$D$15))+(F77*'Stock WC'!$D$15))*$C$145*H$124</f>
        <v>0</v>
      </c>
      <c r="I145" s="5">
        <f>((H77*(1-'Stock WC'!$D$15))+(G77*'Stock WC'!$D$15))*$C$145*I$124</f>
        <v>0</v>
      </c>
      <c r="J145" s="5">
        <f>((I77*(1-'Stock WC'!$D$15))+(H77*'Stock WC'!$D$15))*$C$145*J$124</f>
        <v>0</v>
      </c>
    </row>
    <row r="146" spans="1:10" x14ac:dyDescent="0.25">
      <c r="A146" s="3">
        <f t="shared" si="52"/>
        <v>0</v>
      </c>
      <c r="B146" s="3"/>
      <c r="C146" s="32"/>
      <c r="D146" s="5">
        <f>(C78*(1-'Stock WC'!$D$15))*$C$146*D$124</f>
        <v>0</v>
      </c>
      <c r="E146" s="5">
        <f>((D78*(1-'Stock WC'!$D$15))+(C78*'Stock WC'!$D$15))*$C$146*E$124</f>
        <v>0</v>
      </c>
      <c r="F146" s="5">
        <f>((E78*(1-'Stock WC'!$D$15))+(D78*'Stock WC'!$D$15))*$C$146*F$124</f>
        <v>0</v>
      </c>
      <c r="G146" s="5">
        <f>((F78*(1-'Stock WC'!$D$15))+(E78*'Stock WC'!$D$15))*$C$146*G$124</f>
        <v>0</v>
      </c>
      <c r="H146" s="5">
        <f>((G78*(1-'Stock WC'!$D$15))+(F78*'Stock WC'!$D$15))*$C$146*H$124</f>
        <v>0</v>
      </c>
      <c r="I146" s="5">
        <f>((H78*(1-'Stock WC'!$D$15))+(G78*'Stock WC'!$D$15))*$C$146*I$124</f>
        <v>0</v>
      </c>
      <c r="J146" s="5">
        <f>((I78*(1-'Stock WC'!$D$15))+(H78*'Stock WC'!$D$15))*$C$146*J$124</f>
        <v>0</v>
      </c>
    </row>
    <row r="147" spans="1:10" x14ac:dyDescent="0.25">
      <c r="A147" s="9" t="str">
        <f t="shared" si="52"/>
        <v>Summer</v>
      </c>
      <c r="B147" s="3"/>
      <c r="C147" s="32"/>
      <c r="D147" s="5"/>
      <c r="E147" s="5"/>
      <c r="F147" s="5"/>
      <c r="G147" s="5"/>
      <c r="H147" s="5"/>
      <c r="I147" s="5"/>
      <c r="J147" s="5"/>
    </row>
    <row r="148" spans="1:10" x14ac:dyDescent="0.25">
      <c r="A148" s="3" t="str">
        <f t="shared" si="52"/>
        <v>Groundnut</v>
      </c>
      <c r="B148" s="3"/>
      <c r="C148" s="32"/>
      <c r="D148" s="5">
        <f>(C80*(1-'Stock WC'!$D$15))*$C$148*D$124</f>
        <v>0</v>
      </c>
      <c r="E148" s="5">
        <f>((D80*(1-'Stock WC'!$D$15))+(C80*'Stock WC'!$D$15))*$C$148*E$124</f>
        <v>0</v>
      </c>
      <c r="F148" s="5">
        <f>((E80*(1-'Stock WC'!$D$15))+(D80*'Stock WC'!$D$15))*$C$148*F$124</f>
        <v>0</v>
      </c>
      <c r="G148" s="5">
        <f>((F80*(1-'Stock WC'!$D$15))+(E80*'Stock WC'!$D$15))*$C$148*G$124</f>
        <v>0</v>
      </c>
      <c r="H148" s="5">
        <f>((G80*(1-'Stock WC'!$D$15))+(F80*'Stock WC'!$D$15))*$C$148*H$124</f>
        <v>0</v>
      </c>
      <c r="I148" s="5">
        <f>((H80*(1-'Stock WC'!$D$15))+(G80*'Stock WC'!$D$15))*$C$148*I$124</f>
        <v>0</v>
      </c>
      <c r="J148" s="5">
        <f>((I80*(1-'Stock WC'!$D$15))+(H80*'Stock WC'!$D$15))*$C$148*J$124</f>
        <v>0</v>
      </c>
    </row>
    <row r="149" spans="1:10" x14ac:dyDescent="0.25">
      <c r="A149" s="3" t="str">
        <f t="shared" si="52"/>
        <v>RAGI</v>
      </c>
      <c r="B149" s="3"/>
      <c r="C149" s="32"/>
      <c r="D149" s="5">
        <f>(C81*(1-'Stock WC'!$D$15))*$C$149*D$124</f>
        <v>0</v>
      </c>
      <c r="E149" s="5">
        <f>((D81*(1-'Stock WC'!$D$15))+(C81*'Stock WC'!$D$15))*$C$149*E$124</f>
        <v>0</v>
      </c>
      <c r="F149" s="5">
        <f>((E81*(1-'Stock WC'!$D$15))+(D81*'Stock WC'!$D$15))*$C$149*F$124</f>
        <v>0</v>
      </c>
      <c r="G149" s="5">
        <f>((F81*(1-'Stock WC'!$D$15))+(E81*'Stock WC'!$D$15))*$C$149*G$124</f>
        <v>0</v>
      </c>
      <c r="H149" s="5">
        <f>((G81*(1-'Stock WC'!$D$15))+(F81*'Stock WC'!$D$15))*$C$149*H$124</f>
        <v>0</v>
      </c>
      <c r="I149" s="5">
        <f>((H81*(1-'Stock WC'!$D$15))+(G81*'Stock WC'!$D$15))*$C$149*I$124</f>
        <v>0</v>
      </c>
      <c r="J149" s="5">
        <f>((I81*(1-'Stock WC'!$D$15))+(H81*'Stock WC'!$D$15))*$C$149*J$124</f>
        <v>0</v>
      </c>
    </row>
    <row r="150" spans="1:10" x14ac:dyDescent="0.25">
      <c r="A150" s="3">
        <f t="shared" si="52"/>
        <v>0</v>
      </c>
      <c r="B150" s="3"/>
      <c r="C150" s="32"/>
      <c r="D150" s="5">
        <f>(C82*(1-'Stock WC'!$D$15))*$C$150*D$124</f>
        <v>0</v>
      </c>
      <c r="E150" s="5">
        <f>((D82*(1-'Stock WC'!$D$15))+(C82*'Stock WC'!$D$15))*$C$150*E$124</f>
        <v>0</v>
      </c>
      <c r="F150" s="5">
        <f>((E82*(1-'Stock WC'!$D$15))+(D82*'Stock WC'!$D$15))*$C$150*F$124</f>
        <v>0</v>
      </c>
      <c r="G150" s="5">
        <f>((F82*(1-'Stock WC'!$D$15))+(E82*'Stock WC'!$D$15))*$C$150*G$124</f>
        <v>0</v>
      </c>
      <c r="H150" s="5">
        <f>((G82*(1-'Stock WC'!$D$15))+(F82*'Stock WC'!$D$15))*$C$150*H$124</f>
        <v>0</v>
      </c>
      <c r="I150" s="5">
        <f>((H82*(1-'Stock WC'!$D$15))+(G82*'Stock WC'!$D$15))*$C$150*I$124</f>
        <v>0</v>
      </c>
      <c r="J150" s="5">
        <f>((I82*(1-'Stock WC'!$D$15))+(H82*'Stock WC'!$D$15))*$C$150*J$124</f>
        <v>0</v>
      </c>
    </row>
    <row r="151" spans="1:10" x14ac:dyDescent="0.25">
      <c r="A151" s="3">
        <f t="shared" si="52"/>
        <v>0</v>
      </c>
      <c r="B151" s="3"/>
      <c r="C151" s="32"/>
      <c r="D151" s="5">
        <f>(C83*(1-'Stock WC'!$D$15))*$C$151*D$124</f>
        <v>0</v>
      </c>
      <c r="E151" s="5">
        <f>((D83*(1-'Stock WC'!$D$15))+(C83*'Stock WC'!$D$15))*$C$151*E$124</f>
        <v>0</v>
      </c>
      <c r="F151" s="5">
        <f>((E83*(1-'Stock WC'!$D$15))+(D83*'Stock WC'!$D$15))*$C$151*F$124</f>
        <v>0</v>
      </c>
      <c r="G151" s="5">
        <f>((F83*(1-'Stock WC'!$D$15))+(E83*'Stock WC'!$D$15))*$C$151*G$124</f>
        <v>0</v>
      </c>
      <c r="H151" s="5">
        <f>((G83*(1-'Stock WC'!$D$15))+(F83*'Stock WC'!$D$15))*$C$151*H$124</f>
        <v>0</v>
      </c>
      <c r="I151" s="5">
        <f>((H83*(1-'Stock WC'!$D$15))+(G83*'Stock WC'!$D$15))*$C$151*I$124</f>
        <v>0</v>
      </c>
      <c r="J151" s="5">
        <f>((I83*(1-'Stock WC'!$D$15))+(H83*'Stock WC'!$D$15))*$C$151*J$124</f>
        <v>0</v>
      </c>
    </row>
    <row r="152" spans="1:10" x14ac:dyDescent="0.25">
      <c r="A152" s="3">
        <f t="shared" si="52"/>
        <v>0</v>
      </c>
      <c r="B152" s="3"/>
      <c r="C152" s="32"/>
      <c r="D152" s="5">
        <f>(C84*(1-'Stock WC'!$D$15))*$C$152*D$124</f>
        <v>0</v>
      </c>
      <c r="E152" s="5">
        <f>((D84*(1-'Stock WC'!$D$15))+(C84*'Stock WC'!$D$15))*$C$152*E$124</f>
        <v>0</v>
      </c>
      <c r="F152" s="5">
        <f>((E84*(1-'Stock WC'!$D$15))+(D84*'Stock WC'!$D$15))*$C$152*F$124</f>
        <v>0</v>
      </c>
      <c r="G152" s="5">
        <f>((F84*(1-'Stock WC'!$D$15))+(E84*'Stock WC'!$D$15))*$C$152*G$124</f>
        <v>0</v>
      </c>
      <c r="H152" s="5">
        <f>((G84*(1-'Stock WC'!$D$15))+(F84*'Stock WC'!$D$15))*$C$152*H$124</f>
        <v>0</v>
      </c>
      <c r="I152" s="5">
        <f>((H84*(1-'Stock WC'!$D$15))+(G84*'Stock WC'!$D$15))*$C$152*I$124</f>
        <v>0</v>
      </c>
      <c r="J152" s="5">
        <f>((I84*(1-'Stock WC'!$D$15))+(H84*'Stock WC'!$D$15))*$C$152*J$124</f>
        <v>0</v>
      </c>
    </row>
    <row r="153" spans="1:10" x14ac:dyDescent="0.25">
      <c r="A153" s="3" t="str">
        <f t="shared" si="52"/>
        <v>Fruit  &amp; Vegetables Crop Production Details</v>
      </c>
      <c r="B153" s="3"/>
      <c r="C153" s="32"/>
      <c r="D153" s="5"/>
      <c r="E153" s="5"/>
      <c r="F153" s="5"/>
      <c r="G153" s="5"/>
      <c r="H153" s="5"/>
      <c r="I153" s="5"/>
      <c r="J153" s="5"/>
    </row>
    <row r="154" spans="1:10" x14ac:dyDescent="0.25">
      <c r="A154" s="3" t="str">
        <f t="shared" si="52"/>
        <v>Onion</v>
      </c>
      <c r="B154" s="3"/>
      <c r="C154" s="32"/>
      <c r="D154" s="5">
        <f>(C86*(1-'Stock WC'!$D$15))*$C154*D$124</f>
        <v>0</v>
      </c>
      <c r="E154" s="5">
        <f>((D86*(1-'Stock WC'!$D$15))+(C86*'Stock WC'!$D$15))*$C154*E$124</f>
        <v>0</v>
      </c>
      <c r="F154" s="5">
        <f>((E86*(1-'Stock WC'!$D$15))+(D86*'Stock WC'!$D$15))*$C$152*F$124</f>
        <v>0</v>
      </c>
      <c r="G154" s="5">
        <f>((F86*(1-'Stock WC'!$D$15))+(E86*'Stock WC'!$D$15))*$C$152*G$124</f>
        <v>0</v>
      </c>
      <c r="H154" s="5">
        <f>((G86*(1-'Stock WC'!$D$15))+(F86*'Stock WC'!$D$15))*$C$152*H$124</f>
        <v>0</v>
      </c>
      <c r="I154" s="5">
        <f>((H86*(1-'Stock WC'!$D$15))+(G86*'Stock WC'!$D$15))*$C$152*I$124</f>
        <v>0</v>
      </c>
      <c r="J154" s="5">
        <f>((I86*(1-'Stock WC'!$D$15))+(H86*'Stock WC'!$D$15))*$C$152*J$124</f>
        <v>0</v>
      </c>
    </row>
    <row r="155" spans="1:10" x14ac:dyDescent="0.25">
      <c r="A155" s="3" t="str">
        <f t="shared" si="52"/>
        <v>Tomato</v>
      </c>
      <c r="B155" s="3"/>
      <c r="C155" s="32"/>
      <c r="D155" s="5">
        <f>(C87*(1-'Stock WC'!$D$15))*$C155*D$124</f>
        <v>0</v>
      </c>
      <c r="E155" s="5">
        <f>((D87*(1-'Stock WC'!$D$15))+(C87*'Stock WC'!$D$15))*$C155*E$124</f>
        <v>0</v>
      </c>
      <c r="F155" s="5">
        <f>((E87*(1-'Stock WC'!$D$15))+(D87*'Stock WC'!$D$15))*$C$152*F$124</f>
        <v>0</v>
      </c>
      <c r="G155" s="5">
        <f>((F87*(1-'Stock WC'!$D$15))+(E87*'Stock WC'!$D$15))*$C$152*G$124</f>
        <v>0</v>
      </c>
      <c r="H155" s="5">
        <f>((G87*(1-'Stock WC'!$D$15))+(F87*'Stock WC'!$D$15))*$C$152*H$124</f>
        <v>0</v>
      </c>
      <c r="I155" s="5">
        <f>((H87*(1-'Stock WC'!$D$15))+(G87*'Stock WC'!$D$15))*$C$152*I$124</f>
        <v>0</v>
      </c>
      <c r="J155" s="5">
        <f>((I87*(1-'Stock WC'!$D$15))+(H87*'Stock WC'!$D$15))*$C$152*J$124</f>
        <v>0</v>
      </c>
    </row>
    <row r="156" spans="1:10" x14ac:dyDescent="0.25">
      <c r="A156" s="3" t="str">
        <f t="shared" si="52"/>
        <v>Okra</v>
      </c>
      <c r="B156" s="3"/>
      <c r="C156" s="32"/>
      <c r="D156" s="5">
        <f>(C88*(1-'Stock WC'!$D$15))*$C156*D$124</f>
        <v>0</v>
      </c>
      <c r="E156" s="5">
        <f>((D88*(1-'Stock WC'!$D$15))+(C88*'Stock WC'!$D$15))*$C156*E$124</f>
        <v>0</v>
      </c>
      <c r="F156" s="5">
        <f>((E88*(1-'Stock WC'!$D$15))+(D88*'Stock WC'!$D$15))*$C$152*F$124</f>
        <v>0</v>
      </c>
      <c r="G156" s="5">
        <f>((F88*(1-'Stock WC'!$D$15))+(E88*'Stock WC'!$D$15))*$C$152*G$124</f>
        <v>0</v>
      </c>
      <c r="H156" s="5">
        <f>((G88*(1-'Stock WC'!$D$15))+(F88*'Stock WC'!$D$15))*$C$152*H$124</f>
        <v>0</v>
      </c>
      <c r="I156" s="5">
        <f>((H88*(1-'Stock WC'!$D$15))+(G88*'Stock WC'!$D$15))*$C$152*I$124</f>
        <v>0</v>
      </c>
      <c r="J156" s="5">
        <f>((I88*(1-'Stock WC'!$D$15))+(H88*'Stock WC'!$D$15))*$C$152*J$124</f>
        <v>0</v>
      </c>
    </row>
    <row r="157" spans="1:10" x14ac:dyDescent="0.25">
      <c r="A157" s="3" t="str">
        <f t="shared" si="52"/>
        <v>Chilli</v>
      </c>
      <c r="B157" s="3"/>
      <c r="C157" s="32"/>
      <c r="D157" s="5">
        <f>(C89*(1-'Stock WC'!$D$15))*$C157*D$124</f>
        <v>0</v>
      </c>
      <c r="E157" s="5">
        <f>((D89*(1-'Stock WC'!$D$15))+(C89*'Stock WC'!$D$15))*$C157*E$124</f>
        <v>0</v>
      </c>
      <c r="F157" s="5">
        <f>((E89*(1-'Stock WC'!$D$15))+(D89*'Stock WC'!$D$15))*$C$152*F$124</f>
        <v>0</v>
      </c>
      <c r="G157" s="5">
        <f>((F89*(1-'Stock WC'!$D$15))+(E89*'Stock WC'!$D$15))*$C$152*G$124</f>
        <v>0</v>
      </c>
      <c r="H157" s="5">
        <f>((G89*(1-'Stock WC'!$D$15))+(F89*'Stock WC'!$D$15))*$C$152*H$124</f>
        <v>0</v>
      </c>
      <c r="I157" s="5">
        <f>((H89*(1-'Stock WC'!$D$15))+(G89*'Stock WC'!$D$15))*$C$152*I$124</f>
        <v>0</v>
      </c>
      <c r="J157" s="5">
        <f>((I89*(1-'Stock WC'!$D$15))+(H89*'Stock WC'!$D$15))*$C$152*J$124</f>
        <v>0</v>
      </c>
    </row>
    <row r="158" spans="1:10" x14ac:dyDescent="0.25">
      <c r="A158" s="3" t="str">
        <f t="shared" si="52"/>
        <v>Potato</v>
      </c>
      <c r="B158" s="3"/>
      <c r="C158" s="32"/>
      <c r="D158" s="5">
        <f>(C90*(1-'Stock WC'!$D$15))*$C158*D$124</f>
        <v>0</v>
      </c>
      <c r="E158" s="5">
        <f>((D90*(1-'Stock WC'!$D$15))+(C90*'Stock WC'!$D$15))*$C158*E$124</f>
        <v>0</v>
      </c>
      <c r="F158" s="5">
        <f>((E90*(1-'Stock WC'!$D$15))+(D90*'Stock WC'!$D$15))*$C$152*F$124</f>
        <v>0</v>
      </c>
      <c r="G158" s="5">
        <f>((F90*(1-'Stock WC'!$D$15))+(E90*'Stock WC'!$D$15))*$C$152*G$124</f>
        <v>0</v>
      </c>
      <c r="H158" s="5">
        <f>((G90*(1-'Stock WC'!$D$15))+(F90*'Stock WC'!$D$15))*$C$152*H$124</f>
        <v>0</v>
      </c>
      <c r="I158" s="5">
        <f>((H90*(1-'Stock WC'!$D$15))+(G90*'Stock WC'!$D$15))*$C$152*I$124</f>
        <v>0</v>
      </c>
      <c r="J158" s="5">
        <f>((I90*(1-'Stock WC'!$D$15))+(H90*'Stock WC'!$D$15))*$C$152*J$124</f>
        <v>0</v>
      </c>
    </row>
    <row r="159" spans="1:10" x14ac:dyDescent="0.25">
      <c r="A159" s="3" t="str">
        <f t="shared" si="52"/>
        <v>SWEET POTATO</v>
      </c>
      <c r="B159" s="3"/>
      <c r="C159" s="32"/>
      <c r="D159" s="5">
        <f>(C91*(1-'Stock WC'!$D$15))*$C159*D$124</f>
        <v>0</v>
      </c>
      <c r="E159" s="5">
        <f>((D91*(1-'Stock WC'!$D$15))+(C91*'Stock WC'!$D$15))*$C159*E$124</f>
        <v>0</v>
      </c>
      <c r="F159" s="5">
        <f>((E91*(1-'Stock WC'!$D$15))+(D91*'Stock WC'!$D$15))*$C$152*F$124</f>
        <v>0</v>
      </c>
      <c r="G159" s="5">
        <f>((F91*(1-'Stock WC'!$D$15))+(E91*'Stock WC'!$D$15))*$C$152*G$124</f>
        <v>0</v>
      </c>
      <c r="H159" s="5">
        <f>((G91*(1-'Stock WC'!$D$15))+(F91*'Stock WC'!$D$15))*$C$152*H$124</f>
        <v>0</v>
      </c>
      <c r="I159" s="5">
        <f>((H91*(1-'Stock WC'!$D$15))+(G91*'Stock WC'!$D$15))*$C$152*I$124</f>
        <v>0</v>
      </c>
      <c r="J159" s="5">
        <f>((I91*(1-'Stock WC'!$D$15))+(H91*'Stock WC'!$D$15))*$C$152*J$124</f>
        <v>0</v>
      </c>
    </row>
    <row r="160" spans="1:10" x14ac:dyDescent="0.25">
      <c r="A160" s="3">
        <f t="shared" si="52"/>
        <v>0</v>
      </c>
      <c r="B160" s="3"/>
      <c r="C160" s="32"/>
      <c r="D160" s="5">
        <f>(C92*(1-'Stock WC'!$D$15))*$C160*D$124</f>
        <v>0</v>
      </c>
      <c r="E160" s="5">
        <f>((D92*(1-'Stock WC'!$D$15))+(C92*'Stock WC'!$D$15))*$C160*E$124</f>
        <v>0</v>
      </c>
      <c r="F160" s="5">
        <f>((E92*(1-'Stock WC'!$D$15))+(D92*'Stock WC'!$D$15))*$C$152*F$124</f>
        <v>0</v>
      </c>
      <c r="G160" s="5">
        <f>((F92*(1-'Stock WC'!$D$15))+(E92*'Stock WC'!$D$15))*$C$152*G$124</f>
        <v>0</v>
      </c>
      <c r="H160" s="5">
        <f>((G92*(1-'Stock WC'!$D$15))+(F92*'Stock WC'!$D$15))*$C$152*H$124</f>
        <v>0</v>
      </c>
      <c r="I160" s="5">
        <f>((H92*(1-'Stock WC'!$D$15))+(G92*'Stock WC'!$D$15))*$C$152*I$124</f>
        <v>0</v>
      </c>
      <c r="J160" s="5">
        <f>((I92*(1-'Stock WC'!$D$15))+(H92*'Stock WC'!$D$15))*$C$152*J$124</f>
        <v>0</v>
      </c>
    </row>
    <row r="161" spans="1:10" x14ac:dyDescent="0.25">
      <c r="A161" s="3">
        <f t="shared" ref="A161:A179" si="53">A40</f>
        <v>0</v>
      </c>
      <c r="B161" s="3"/>
      <c r="C161" s="32"/>
      <c r="D161" s="5">
        <f>(C93*(1-'Stock WC'!$D$15))*$C161*D$124</f>
        <v>0</v>
      </c>
      <c r="E161" s="5">
        <f>((D93*(1-'Stock WC'!$D$15))+(C93*'Stock WC'!$D$15))*$C161*E$124</f>
        <v>0</v>
      </c>
      <c r="F161" s="5">
        <f>((E93*(1-'Stock WC'!$D$15))+(D93*'Stock WC'!$D$15))*$C$152*F$124</f>
        <v>0</v>
      </c>
      <c r="G161" s="5">
        <f>((F93*(1-'Stock WC'!$D$15))+(E93*'Stock WC'!$D$15))*$C$152*G$124</f>
        <v>0</v>
      </c>
      <c r="H161" s="5">
        <f>((G93*(1-'Stock WC'!$D$15))+(F93*'Stock WC'!$D$15))*$C$152*H$124</f>
        <v>0</v>
      </c>
      <c r="I161" s="5">
        <f>((H93*(1-'Stock WC'!$D$15))+(G93*'Stock WC'!$D$15))*$C$152*I$124</f>
        <v>0</v>
      </c>
      <c r="J161" s="5">
        <f>((I93*(1-'Stock WC'!$D$15))+(H93*'Stock WC'!$D$15))*$C$152*J$124</f>
        <v>0</v>
      </c>
    </row>
    <row r="162" spans="1:10" x14ac:dyDescent="0.25">
      <c r="A162" s="3">
        <f t="shared" si="53"/>
        <v>0</v>
      </c>
      <c r="B162" s="3"/>
      <c r="C162" s="32"/>
      <c r="D162" s="5">
        <f>(C94*(1-'Stock WC'!$D$15))*$C162*D$124</f>
        <v>0</v>
      </c>
      <c r="E162" s="5">
        <f>((D94*(1-'Stock WC'!$D$15))+(C94*'Stock WC'!$D$15))*$C162*E$124</f>
        <v>0</v>
      </c>
      <c r="F162" s="5">
        <f>((E94*(1-'Stock WC'!$D$15))+(D94*'Stock WC'!$D$15))*$C$152*F$124</f>
        <v>0</v>
      </c>
      <c r="G162" s="5">
        <f>((F94*(1-'Stock WC'!$D$15))+(E94*'Stock WC'!$D$15))*$C$152*G$124</f>
        <v>0</v>
      </c>
      <c r="H162" s="5">
        <f>((G94*(1-'Stock WC'!$D$15))+(F94*'Stock WC'!$D$15))*$C$152*H$124</f>
        <v>0</v>
      </c>
      <c r="I162" s="5">
        <f>((H94*(1-'Stock WC'!$D$15))+(G94*'Stock WC'!$D$15))*$C$152*I$124</f>
        <v>0</v>
      </c>
      <c r="J162" s="5">
        <f>((I94*(1-'Stock WC'!$D$15))+(H94*'Stock WC'!$D$15))*$C$152*J$124</f>
        <v>0</v>
      </c>
    </row>
    <row r="163" spans="1:10" x14ac:dyDescent="0.25">
      <c r="A163" s="3" t="str">
        <f t="shared" si="53"/>
        <v>Onion</v>
      </c>
      <c r="B163" s="3"/>
      <c r="C163" s="32"/>
      <c r="D163" s="5">
        <f>(C95*(1-'Stock WC'!$D$15))*$C163*D$124</f>
        <v>0</v>
      </c>
      <c r="E163" s="5">
        <f>((D95*(1-'Stock WC'!$D$15))+(C95*'Stock WC'!$D$15))*$C163*E$124</f>
        <v>0</v>
      </c>
      <c r="F163" s="5">
        <f>((E95*(1-'Stock WC'!$D$15))+(D95*'Stock WC'!$D$15))*$C$152*F$124</f>
        <v>0</v>
      </c>
      <c r="G163" s="5">
        <f>((F95*(1-'Stock WC'!$D$15))+(E95*'Stock WC'!$D$15))*$C$152*G$124</f>
        <v>0</v>
      </c>
      <c r="H163" s="5">
        <f>((G95*(1-'Stock WC'!$D$15))+(F95*'Stock WC'!$D$15))*$C$152*H$124</f>
        <v>0</v>
      </c>
      <c r="I163" s="5">
        <f>((H95*(1-'Stock WC'!$D$15))+(G95*'Stock WC'!$D$15))*$C$152*I$124</f>
        <v>0</v>
      </c>
      <c r="J163" s="5">
        <f>((I95*(1-'Stock WC'!$D$15))+(H95*'Stock WC'!$D$15))*$C$152*J$124</f>
        <v>0</v>
      </c>
    </row>
    <row r="164" spans="1:10" x14ac:dyDescent="0.25">
      <c r="A164" s="3" t="str">
        <f t="shared" si="53"/>
        <v>Tomato</v>
      </c>
      <c r="B164" s="3"/>
      <c r="C164" s="32"/>
      <c r="D164" s="5">
        <f>(C96*(1-'Stock WC'!$D$15))*$C164*D$124</f>
        <v>0</v>
      </c>
      <c r="E164" s="5">
        <f>((D96*(1-'Stock WC'!$D$15))+(C96*'Stock WC'!$D$15))*$C164*E$124</f>
        <v>0</v>
      </c>
      <c r="F164" s="5">
        <f>((E96*(1-'Stock WC'!$D$15))+(D96*'Stock WC'!$D$15))*$C$152*F$124</f>
        <v>0</v>
      </c>
      <c r="G164" s="5">
        <f>((F96*(1-'Stock WC'!$D$15))+(E96*'Stock WC'!$D$15))*$C$152*G$124</f>
        <v>0</v>
      </c>
      <c r="H164" s="5">
        <f>((G96*(1-'Stock WC'!$D$15))+(F96*'Stock WC'!$D$15))*$C$152*H$124</f>
        <v>0</v>
      </c>
      <c r="I164" s="5">
        <f>((H96*(1-'Stock WC'!$D$15))+(G96*'Stock WC'!$D$15))*$C$152*I$124</f>
        <v>0</v>
      </c>
      <c r="J164" s="5">
        <f>((I96*(1-'Stock WC'!$D$15))+(H96*'Stock WC'!$D$15))*$C$152*J$124</f>
        <v>0</v>
      </c>
    </row>
    <row r="165" spans="1:10" x14ac:dyDescent="0.25">
      <c r="A165" s="3" t="str">
        <f t="shared" si="53"/>
        <v>Okra</v>
      </c>
      <c r="B165" s="3"/>
      <c r="C165" s="32"/>
      <c r="D165" s="5">
        <f>(C97*(1-'Stock WC'!$D$15))*$C165*D$124</f>
        <v>0</v>
      </c>
      <c r="E165" s="5">
        <f>((D97*(1-'Stock WC'!$D$15))+(C97*'Stock WC'!$D$15))*$C165*E$124</f>
        <v>0</v>
      </c>
      <c r="F165" s="5">
        <f>((E97*(1-'Stock WC'!$D$15))+(D97*'Stock WC'!$D$15))*$C$152*F$124</f>
        <v>0</v>
      </c>
      <c r="G165" s="5">
        <f>((F97*(1-'Stock WC'!$D$15))+(E97*'Stock WC'!$D$15))*$C$152*G$124</f>
        <v>0</v>
      </c>
      <c r="H165" s="5">
        <f>((G97*(1-'Stock WC'!$D$15))+(F97*'Stock WC'!$D$15))*$C$152*H$124</f>
        <v>0</v>
      </c>
      <c r="I165" s="5">
        <f>((H97*(1-'Stock WC'!$D$15))+(G97*'Stock WC'!$D$15))*$C$152*I$124</f>
        <v>0</v>
      </c>
      <c r="J165" s="5">
        <f>((I97*(1-'Stock WC'!$D$15))+(H97*'Stock WC'!$D$15))*$C$152*J$124</f>
        <v>0</v>
      </c>
    </row>
    <row r="166" spans="1:10" x14ac:dyDescent="0.25">
      <c r="A166" s="3" t="str">
        <f t="shared" si="53"/>
        <v>Chilli</v>
      </c>
      <c r="B166" s="3"/>
      <c r="C166" s="32"/>
      <c r="D166" s="5">
        <f>(C98*(1-'Stock WC'!$D$15))*$C166*D$124</f>
        <v>0</v>
      </c>
      <c r="E166" s="5">
        <f>((D98*(1-'Stock WC'!$D$15))+(C98*'Stock WC'!$D$15))*$C166*E$124</f>
        <v>0</v>
      </c>
      <c r="F166" s="5">
        <f>((E98*(1-'Stock WC'!$D$15))+(D98*'Stock WC'!$D$15))*$C$152*F$124</f>
        <v>0</v>
      </c>
      <c r="G166" s="5">
        <f>((F98*(1-'Stock WC'!$D$15))+(E98*'Stock WC'!$D$15))*$C$152*G$124</f>
        <v>0</v>
      </c>
      <c r="H166" s="5">
        <f>((G98*(1-'Stock WC'!$D$15))+(F98*'Stock WC'!$D$15))*$C$152*H$124</f>
        <v>0</v>
      </c>
      <c r="I166" s="5">
        <f>((H98*(1-'Stock WC'!$D$15))+(G98*'Stock WC'!$D$15))*$C$152*I$124</f>
        <v>0</v>
      </c>
      <c r="J166" s="5">
        <f>((I98*(1-'Stock WC'!$D$15))+(H98*'Stock WC'!$D$15))*$C$152*J$124</f>
        <v>0</v>
      </c>
    </row>
    <row r="167" spans="1:10" x14ac:dyDescent="0.25">
      <c r="A167" s="3" t="str">
        <f t="shared" si="53"/>
        <v>Potato</v>
      </c>
      <c r="B167" s="3"/>
      <c r="C167" s="32"/>
      <c r="D167" s="5">
        <f>(C99*(1-'Stock WC'!$D$15))*$C167*D$124</f>
        <v>0</v>
      </c>
      <c r="E167" s="5">
        <f>((D99*(1-'Stock WC'!$D$15))+(C99*'Stock WC'!$D$15))*$C167*E$124</f>
        <v>0</v>
      </c>
      <c r="F167" s="5">
        <f>((E99*(1-'Stock WC'!$D$15))+(D99*'Stock WC'!$D$15))*$C$152*F$124</f>
        <v>0</v>
      </c>
      <c r="G167" s="5">
        <f>((F99*(1-'Stock WC'!$D$15))+(E99*'Stock WC'!$D$15))*$C$152*G$124</f>
        <v>0</v>
      </c>
      <c r="H167" s="5">
        <f>((G99*(1-'Stock WC'!$D$15))+(F99*'Stock WC'!$D$15))*$C$152*H$124</f>
        <v>0</v>
      </c>
      <c r="I167" s="5">
        <f>((H99*(1-'Stock WC'!$D$15))+(G99*'Stock WC'!$D$15))*$C$152*I$124</f>
        <v>0</v>
      </c>
      <c r="J167" s="5">
        <f>((I99*(1-'Stock WC'!$D$15))+(H99*'Stock WC'!$D$15))*$C$152*J$124</f>
        <v>0</v>
      </c>
    </row>
    <row r="168" spans="1:10" x14ac:dyDescent="0.25">
      <c r="A168" s="3" t="str">
        <f t="shared" si="53"/>
        <v>SWEET POTATO</v>
      </c>
      <c r="B168" s="3"/>
      <c r="C168" s="32"/>
      <c r="D168" s="5">
        <f>(C100*(1-'Stock WC'!$D$15))*$C168*D$124</f>
        <v>0</v>
      </c>
      <c r="E168" s="5">
        <f>((D100*(1-'Stock WC'!$D$15))+(C100*'Stock WC'!$D$15))*$C168*E$124</f>
        <v>0</v>
      </c>
      <c r="F168" s="5">
        <f>((E100*(1-'Stock WC'!$D$15))+(D100*'Stock WC'!$D$15))*$C$152*F$124</f>
        <v>0</v>
      </c>
      <c r="G168" s="5">
        <f>((F100*(1-'Stock WC'!$D$15))+(E100*'Stock WC'!$D$15))*$C$152*G$124</f>
        <v>0</v>
      </c>
      <c r="H168" s="5">
        <f>((G100*(1-'Stock WC'!$D$15))+(F100*'Stock WC'!$D$15))*$C$152*H$124</f>
        <v>0</v>
      </c>
      <c r="I168" s="5">
        <f>((H100*(1-'Stock WC'!$D$15))+(G100*'Stock WC'!$D$15))*$C$152*I$124</f>
        <v>0</v>
      </c>
      <c r="J168" s="5">
        <f>((I100*(1-'Stock WC'!$D$15))+(H100*'Stock WC'!$D$15))*$C$152*J$124</f>
        <v>0</v>
      </c>
    </row>
    <row r="169" spans="1:10" x14ac:dyDescent="0.25">
      <c r="A169" s="3">
        <f t="shared" si="53"/>
        <v>0</v>
      </c>
      <c r="B169" s="3"/>
      <c r="C169" s="32"/>
      <c r="D169" s="5">
        <f>(C101*(1-'Stock WC'!$D$15))*$C169*D$124</f>
        <v>0</v>
      </c>
      <c r="E169" s="5">
        <f>((D101*(1-'Stock WC'!$D$15))+(C101*'Stock WC'!$D$15))*$C169*E$124</f>
        <v>0</v>
      </c>
      <c r="F169" s="5">
        <f>((E101*(1-'Stock WC'!$D$15))+(D101*'Stock WC'!$D$15))*$C$152*F$124</f>
        <v>0</v>
      </c>
      <c r="G169" s="5">
        <f>((F101*(1-'Stock WC'!$D$15))+(E101*'Stock WC'!$D$15))*$C$152*G$124</f>
        <v>0</v>
      </c>
      <c r="H169" s="5">
        <f>((G101*(1-'Stock WC'!$D$15))+(F101*'Stock WC'!$D$15))*$C$152*H$124</f>
        <v>0</v>
      </c>
      <c r="I169" s="5">
        <f>((H101*(1-'Stock WC'!$D$15))+(G101*'Stock WC'!$D$15))*$C$152*I$124</f>
        <v>0</v>
      </c>
      <c r="J169" s="5">
        <f>((I101*(1-'Stock WC'!$D$15))+(H101*'Stock WC'!$D$15))*$C$152*J$124</f>
        <v>0</v>
      </c>
    </row>
    <row r="170" spans="1:10" x14ac:dyDescent="0.25">
      <c r="A170" s="3">
        <f t="shared" si="53"/>
        <v>0</v>
      </c>
      <c r="B170" s="3"/>
      <c r="C170" s="32"/>
      <c r="D170" s="5">
        <f>(C102*(1-'Stock WC'!$D$15))*$C170*D$124</f>
        <v>0</v>
      </c>
      <c r="E170" s="5">
        <f>((D102*(1-'Stock WC'!$D$15))+(C102*'Stock WC'!$D$15))*$C170*E$124</f>
        <v>0</v>
      </c>
      <c r="F170" s="5">
        <f>((E102*(1-'Stock WC'!$D$15))+(D102*'Stock WC'!$D$15))*$C$152*F$124</f>
        <v>0</v>
      </c>
      <c r="G170" s="5">
        <f>((F102*(1-'Stock WC'!$D$15))+(E102*'Stock WC'!$D$15))*$C$152*G$124</f>
        <v>0</v>
      </c>
      <c r="H170" s="5">
        <f>((G102*(1-'Stock WC'!$D$15))+(F102*'Stock WC'!$D$15))*$C$152*H$124</f>
        <v>0</v>
      </c>
      <c r="I170" s="5">
        <f>((H102*(1-'Stock WC'!$D$15))+(G102*'Stock WC'!$D$15))*$C$152*I$124</f>
        <v>0</v>
      </c>
      <c r="J170" s="5">
        <f>((I102*(1-'Stock WC'!$D$15))+(H102*'Stock WC'!$D$15))*$C$152*J$124</f>
        <v>0</v>
      </c>
    </row>
    <row r="171" spans="1:10" x14ac:dyDescent="0.25">
      <c r="A171" s="3">
        <f t="shared" si="53"/>
        <v>0</v>
      </c>
      <c r="B171" s="3"/>
      <c r="C171" s="32"/>
      <c r="D171" s="5">
        <f>(C103*(1-'Stock WC'!$D$15))*$C171*D$124</f>
        <v>0</v>
      </c>
      <c r="E171" s="5">
        <f>((D103*(1-'Stock WC'!$D$15))+(C103*'Stock WC'!$D$15))*$C171*E$124</f>
        <v>0</v>
      </c>
      <c r="F171" s="5">
        <f>((E103*(1-'Stock WC'!$D$15))+(D103*'Stock WC'!$D$15))*$C$152*F$124</f>
        <v>0</v>
      </c>
      <c r="G171" s="5">
        <f>((F103*(1-'Stock WC'!$D$15))+(E103*'Stock WC'!$D$15))*$C$152*G$124</f>
        <v>0</v>
      </c>
      <c r="H171" s="5">
        <f>((G103*(1-'Stock WC'!$D$15))+(F103*'Stock WC'!$D$15))*$C$152*H$124</f>
        <v>0</v>
      </c>
      <c r="I171" s="5">
        <f>((H103*(1-'Stock WC'!$D$15))+(G103*'Stock WC'!$D$15))*$C$152*I$124</f>
        <v>0</v>
      </c>
      <c r="J171" s="5">
        <f>((I103*(1-'Stock WC'!$D$15))+(H103*'Stock WC'!$D$15))*$C$152*J$124</f>
        <v>0</v>
      </c>
    </row>
    <row r="172" spans="1:10" x14ac:dyDescent="0.25">
      <c r="A172" s="3">
        <f t="shared" si="53"/>
        <v>0</v>
      </c>
      <c r="B172" s="3"/>
      <c r="C172" s="32"/>
      <c r="D172" s="5">
        <f>(C104*(1-'Stock WC'!$D$15))*$C172*D$124</f>
        <v>0</v>
      </c>
      <c r="E172" s="5">
        <f>((D104*(1-'Stock WC'!$D$15))+(C104*'Stock WC'!$D$15))*$C172*E$124</f>
        <v>0</v>
      </c>
      <c r="F172" s="5">
        <f>((E104*(1-'Stock WC'!$D$15))+(D104*'Stock WC'!$D$15))*$C$152*F$124</f>
        <v>0</v>
      </c>
      <c r="G172" s="5">
        <f>((F104*(1-'Stock WC'!$D$15))+(E104*'Stock WC'!$D$15))*$C$152*G$124</f>
        <v>0</v>
      </c>
      <c r="H172" s="5">
        <f>((G104*(1-'Stock WC'!$D$15))+(F104*'Stock WC'!$D$15))*$C$152*H$124</f>
        <v>0</v>
      </c>
      <c r="I172" s="5">
        <f>((H104*(1-'Stock WC'!$D$15))+(G104*'Stock WC'!$D$15))*$C$152*I$124</f>
        <v>0</v>
      </c>
      <c r="J172" s="5">
        <f>((I104*(1-'Stock WC'!$D$15))+(H104*'Stock WC'!$D$15))*$C$152*J$124</f>
        <v>0</v>
      </c>
    </row>
    <row r="173" spans="1:10" x14ac:dyDescent="0.25">
      <c r="A173" s="3">
        <f t="shared" si="53"/>
        <v>0</v>
      </c>
      <c r="B173" s="3"/>
      <c r="C173" s="32"/>
      <c r="D173" s="5">
        <f>(C105*(1-'Stock WC'!$D$15))*$C173*D$124</f>
        <v>0</v>
      </c>
      <c r="E173" s="5">
        <f>((D105*(1-'Stock WC'!$D$15))+(C105*'Stock WC'!$D$15))*$C173*E$124</f>
        <v>0</v>
      </c>
      <c r="F173" s="5">
        <f>((E105*(1-'Stock WC'!$D$15))+(D105*'Stock WC'!$D$15))*$C$152*F$124</f>
        <v>0</v>
      </c>
      <c r="G173" s="5">
        <f>((F105*(1-'Stock WC'!$D$15))+(E105*'Stock WC'!$D$15))*$C$152*G$124</f>
        <v>0</v>
      </c>
      <c r="H173" s="5">
        <f>((G105*(1-'Stock WC'!$D$15))+(F105*'Stock WC'!$D$15))*$C$152*H$124</f>
        <v>0</v>
      </c>
      <c r="I173" s="5">
        <f>((H105*(1-'Stock WC'!$D$15))+(G105*'Stock WC'!$D$15))*$C$152*I$124</f>
        <v>0</v>
      </c>
      <c r="J173" s="5">
        <f>((I105*(1-'Stock WC'!$D$15))+(H105*'Stock WC'!$D$15))*$C$152*J$124</f>
        <v>0</v>
      </c>
    </row>
    <row r="174" spans="1:10" x14ac:dyDescent="0.25">
      <c r="A174" s="3">
        <f t="shared" si="53"/>
        <v>0</v>
      </c>
      <c r="B174" s="3"/>
      <c r="C174" s="32"/>
      <c r="D174" s="5">
        <f>(C106*(1-'Stock WC'!$D$15))*$C174*D$124</f>
        <v>0</v>
      </c>
      <c r="E174" s="5">
        <f>((D106*(1-'Stock WC'!$D$15))+(C106*'Stock WC'!$D$15))*$C174*E$124</f>
        <v>0</v>
      </c>
      <c r="F174" s="5">
        <f>((E106*(1-'Stock WC'!$D$15))+(D106*'Stock WC'!$D$15))*$C$152*F$124</f>
        <v>0</v>
      </c>
      <c r="G174" s="5">
        <f>((F106*(1-'Stock WC'!$D$15))+(E106*'Stock WC'!$D$15))*$C$152*G$124</f>
        <v>0</v>
      </c>
      <c r="H174" s="5">
        <f>((G106*(1-'Stock WC'!$D$15))+(F106*'Stock WC'!$D$15))*$C$152*H$124</f>
        <v>0</v>
      </c>
      <c r="I174" s="5">
        <f>((H106*(1-'Stock WC'!$D$15))+(G106*'Stock WC'!$D$15))*$C$152*I$124</f>
        <v>0</v>
      </c>
      <c r="J174" s="5">
        <f>((I106*(1-'Stock WC'!$D$15))+(H106*'Stock WC'!$D$15))*$C$152*J$124</f>
        <v>0</v>
      </c>
    </row>
    <row r="175" spans="1:10" x14ac:dyDescent="0.25">
      <c r="A175" s="3" t="str">
        <f t="shared" si="53"/>
        <v>Pomegranate</v>
      </c>
      <c r="B175" s="3"/>
      <c r="C175" s="32"/>
      <c r="D175" s="5">
        <f>(C107*(1-'Stock WC'!$D$15))*$C175*D$124</f>
        <v>0</v>
      </c>
      <c r="E175" s="5">
        <f>((D107*(1-'Stock WC'!$D$15))+(C107*'Stock WC'!$D$15))*$C175*E$124</f>
        <v>0</v>
      </c>
      <c r="F175" s="5">
        <f>((E107*(1-'Stock WC'!$D$15))+(D107*'Stock WC'!$D$15))*$C$152*F$124</f>
        <v>0</v>
      </c>
      <c r="G175" s="5">
        <f>((F107*(1-'Stock WC'!$D$15))+(E107*'Stock WC'!$D$15))*$C$152*G$124</f>
        <v>0</v>
      </c>
      <c r="H175" s="5">
        <f>((G107*(1-'Stock WC'!$D$15))+(F107*'Stock WC'!$D$15))*$C$152*H$124</f>
        <v>0</v>
      </c>
      <c r="I175" s="5">
        <f>((H107*(1-'Stock WC'!$D$15))+(G107*'Stock WC'!$D$15))*$C$152*I$124</f>
        <v>0</v>
      </c>
      <c r="J175" s="5">
        <f>((I107*(1-'Stock WC'!$D$15))+(H107*'Stock WC'!$D$15))*$C$152*J$124</f>
        <v>0</v>
      </c>
    </row>
    <row r="176" spans="1:10" x14ac:dyDescent="0.25">
      <c r="A176" s="3" t="str">
        <f t="shared" si="53"/>
        <v>Custard Apple</v>
      </c>
      <c r="B176" s="3"/>
      <c r="C176" s="32"/>
      <c r="D176" s="5">
        <f>(C108*(1-'Stock WC'!$D$15))*$C176*D$124</f>
        <v>0</v>
      </c>
      <c r="E176" s="5">
        <f>((D108*(1-'Stock WC'!$D$15))+(C108*'Stock WC'!$D$15))*$C176*E$124</f>
        <v>0</v>
      </c>
      <c r="F176" s="5">
        <f>((E108*(1-'Stock WC'!$D$15))+(D108*'Stock WC'!$D$15))*$C$152*F$124</f>
        <v>0</v>
      </c>
      <c r="G176" s="5">
        <f>((F108*(1-'Stock WC'!$D$15))+(E108*'Stock WC'!$D$15))*$C$152*G$124</f>
        <v>0</v>
      </c>
      <c r="H176" s="5">
        <f>((G108*(1-'Stock WC'!$D$15))+(F108*'Stock WC'!$D$15))*$C$152*H$124</f>
        <v>0</v>
      </c>
      <c r="I176" s="5">
        <f>((H108*(1-'Stock WC'!$D$15))+(G108*'Stock WC'!$D$15))*$C$152*I$124</f>
        <v>0</v>
      </c>
      <c r="J176" s="5">
        <f>((I108*(1-'Stock WC'!$D$15))+(H108*'Stock WC'!$D$15))*$C$152*J$124</f>
        <v>0</v>
      </c>
    </row>
    <row r="177" spans="1:23" x14ac:dyDescent="0.25">
      <c r="A177" s="3" t="str">
        <f t="shared" si="53"/>
        <v>Guava</v>
      </c>
      <c r="B177" s="3"/>
      <c r="C177" s="32"/>
      <c r="D177" s="5">
        <f>(C109*(1-'Stock WC'!$D$15))*$C177*D$124</f>
        <v>0</v>
      </c>
      <c r="E177" s="5">
        <f>((D109*(1-'Stock WC'!$D$15))+(C109*'Stock WC'!$D$15))*$C177*E$124</f>
        <v>0</v>
      </c>
      <c r="F177" s="5">
        <f>((E109*(1-'Stock WC'!$D$15))+(D109*'Stock WC'!$D$15))*$C$152*F$124</f>
        <v>0</v>
      </c>
      <c r="G177" s="5">
        <f>((F109*(1-'Stock WC'!$D$15))+(E109*'Stock WC'!$D$15))*$C$152*G$124</f>
        <v>0</v>
      </c>
      <c r="H177" s="5">
        <f>((G109*(1-'Stock WC'!$D$15))+(F109*'Stock WC'!$D$15))*$C$152*H$124</f>
        <v>0</v>
      </c>
      <c r="I177" s="5">
        <f>((H109*(1-'Stock WC'!$D$15))+(G109*'Stock WC'!$D$15))*$C$152*I$124</f>
        <v>0</v>
      </c>
      <c r="J177" s="5">
        <f>((I109*(1-'Stock WC'!$D$15))+(H109*'Stock WC'!$D$15))*$C$152*J$124</f>
        <v>0</v>
      </c>
    </row>
    <row r="178" spans="1:23" x14ac:dyDescent="0.25">
      <c r="A178" s="3" t="str">
        <f t="shared" si="53"/>
        <v>CASHEW</v>
      </c>
      <c r="B178" s="3"/>
      <c r="C178" s="32"/>
      <c r="D178" s="5">
        <f>(C110*(1-'Stock WC'!$D$15))*$C178*D$124</f>
        <v>0</v>
      </c>
      <c r="E178" s="5">
        <f>((D110*(1-'Stock WC'!$D$15))+(C110*'Stock WC'!$D$15))*$C178*E$124</f>
        <v>0</v>
      </c>
      <c r="F178" s="5">
        <f>((E110*(1-'Stock WC'!$D$15))+(D110*'Stock WC'!$D$15))*$C$152*F$124</f>
        <v>0</v>
      </c>
      <c r="G178" s="5">
        <f>((F110*(1-'Stock WC'!$D$15))+(E110*'Stock WC'!$D$15))*$C$152*G$124</f>
        <v>0</v>
      </c>
      <c r="H178" s="5">
        <f>((G110*(1-'Stock WC'!$D$15))+(F110*'Stock WC'!$D$15))*$C$152*H$124</f>
        <v>0</v>
      </c>
      <c r="I178" s="5">
        <f>((H110*(1-'Stock WC'!$D$15))+(G110*'Stock WC'!$D$15))*$C$152*I$124</f>
        <v>0</v>
      </c>
      <c r="J178" s="5">
        <f>((I110*(1-'Stock WC'!$D$15))+(H110*'Stock WC'!$D$15))*$C$152*J$124</f>
        <v>0</v>
      </c>
    </row>
    <row r="179" spans="1:23" x14ac:dyDescent="0.25">
      <c r="A179" s="3">
        <f t="shared" si="53"/>
        <v>0</v>
      </c>
      <c r="B179" s="3"/>
      <c r="C179" s="32"/>
      <c r="D179" s="5"/>
      <c r="E179" s="5"/>
      <c r="F179" s="5"/>
      <c r="G179" s="5"/>
      <c r="H179" s="5"/>
      <c r="I179" s="5"/>
      <c r="J179" s="5"/>
    </row>
    <row r="180" spans="1:23" x14ac:dyDescent="0.25">
      <c r="A180" s="3"/>
      <c r="B180" s="3"/>
      <c r="C180" s="5"/>
      <c r="D180" s="5"/>
      <c r="E180" s="5"/>
      <c r="F180" s="5"/>
      <c r="G180" s="5"/>
      <c r="H180" s="5"/>
      <c r="I180" s="5"/>
      <c r="J180" s="5"/>
    </row>
    <row r="181" spans="1:23" x14ac:dyDescent="0.25">
      <c r="A181" s="3" t="s">
        <v>283</v>
      </c>
      <c r="B181" s="3"/>
      <c r="C181" s="5"/>
      <c r="D181" s="5"/>
      <c r="E181" s="5"/>
      <c r="F181" s="5"/>
      <c r="G181" s="5"/>
      <c r="H181" s="5"/>
      <c r="I181" s="5"/>
      <c r="J181" s="5"/>
    </row>
    <row r="182" spans="1:23" x14ac:dyDescent="0.25">
      <c r="A182" s="3" t="s">
        <v>398</v>
      </c>
      <c r="B182" s="3"/>
      <c r="C182" s="32">
        <f>350/50</f>
        <v>7</v>
      </c>
      <c r="D182" s="5">
        <f>(C114*(1-'Stock WC'!$D$15))*$C$182*D124</f>
        <v>0</v>
      </c>
      <c r="E182" s="5">
        <f>((D114*(1-'Stock WC'!$D$15))+(C114*'Stock WC'!$D$15))*$C$182*E124</f>
        <v>0</v>
      </c>
      <c r="F182" s="5">
        <f>((E114*(1-'Stock WC'!$D$15))+(D114*'Stock WC'!$D$15))*$C$182*F124</f>
        <v>0</v>
      </c>
      <c r="G182" s="5">
        <f>((F114*(1-'Stock WC'!$D$15))+(E114*'Stock WC'!$D$15))*$C$182*G124</f>
        <v>0</v>
      </c>
      <c r="H182" s="5">
        <f>((G114*(1-'Stock WC'!$D$15))+(F114*'Stock WC'!$D$15))*$C$182*H124</f>
        <v>0</v>
      </c>
      <c r="I182" s="5">
        <f>((H114*(1-'Stock WC'!$D$15))+(G114*'Stock WC'!$D$15))*$C$182*I124</f>
        <v>0</v>
      </c>
      <c r="J182" s="5">
        <f>((I114*(1-'Stock WC'!$D$15))+(H114*'Stock WC'!$D$15))*$C$182*J124</f>
        <v>0</v>
      </c>
    </row>
    <row r="183" spans="1:23" x14ac:dyDescent="0.25">
      <c r="A183" s="3" t="s">
        <v>175</v>
      </c>
      <c r="B183" s="3"/>
      <c r="C183" s="32">
        <v>8</v>
      </c>
      <c r="D183" s="5">
        <f>(C115*(1-'Stock WC'!$D$15))*$C$183*D124</f>
        <v>0</v>
      </c>
      <c r="E183" s="5">
        <f>((D115*(1-'Stock WC'!$D$15))+(C115*'Stock WC'!$D$15))*$C$183*E124</f>
        <v>0</v>
      </c>
      <c r="F183" s="5">
        <f>((E115*(1-'Stock WC'!$D$15))+(D115*'Stock WC'!$D$15))*$C$183*F124</f>
        <v>0</v>
      </c>
      <c r="G183" s="5">
        <f>((F115*(1-'Stock WC'!$D$15))+(E115*'Stock WC'!$D$15))*$C$183*G124</f>
        <v>0</v>
      </c>
      <c r="H183" s="5">
        <f>((G115*(1-'Stock WC'!$D$15))+(F115*'Stock WC'!$D$15))*$C$183*H124</f>
        <v>0</v>
      </c>
      <c r="I183" s="5">
        <f>((H115*(1-'Stock WC'!$D$15))+(G115*'Stock WC'!$D$15))*$C$183*I124</f>
        <v>0</v>
      </c>
      <c r="J183" s="5">
        <f>((I115*(1-'Stock WC'!$D$15))+(H115*'Stock WC'!$D$15))*$C$183*J124</f>
        <v>0</v>
      </c>
    </row>
    <row r="184" spans="1:23" x14ac:dyDescent="0.25">
      <c r="A184" s="3" t="s">
        <v>177</v>
      </c>
      <c r="B184" s="3"/>
      <c r="C184" s="32">
        <v>30</v>
      </c>
      <c r="D184" s="5">
        <f>(C116*(1-'Stock WC'!$D$15))*$C$184*D124</f>
        <v>0</v>
      </c>
      <c r="E184" s="5">
        <f>((D116*(1-'Stock WC'!$D$15))+(C116*'Stock WC'!$D$15))*$C$184*E124</f>
        <v>0</v>
      </c>
      <c r="F184" s="5">
        <f>((E116*(1-'Stock WC'!$D$15))+(D116*'Stock WC'!$D$15))*$C$184*F124</f>
        <v>0</v>
      </c>
      <c r="G184" s="5">
        <f>((F116*(1-'Stock WC'!$D$15))+(E116*'Stock WC'!$D$15))*$C$184*G124</f>
        <v>0</v>
      </c>
      <c r="H184" s="5">
        <f>((G116*(1-'Stock WC'!$D$15))+(F116*'Stock WC'!$D$15))*$C$184*H124</f>
        <v>0</v>
      </c>
      <c r="I184" s="5">
        <f>((H116*(1-'Stock WC'!$D$15))+(G116*'Stock WC'!$D$15))*$C$184*I124</f>
        <v>0</v>
      </c>
      <c r="J184" s="5">
        <f>((I116*(1-'Stock WC'!$D$15))+(H116*'Stock WC'!$D$15))*$C$184*J124</f>
        <v>0</v>
      </c>
    </row>
    <row r="185" spans="1:23" x14ac:dyDescent="0.25">
      <c r="A185" s="3"/>
      <c r="B185" s="3"/>
      <c r="C185" s="5"/>
      <c r="D185" s="5"/>
      <c r="E185" s="5"/>
      <c r="F185" s="5"/>
      <c r="G185" s="5"/>
      <c r="H185" s="5"/>
      <c r="I185" s="5"/>
      <c r="J185" s="5"/>
    </row>
    <row r="186" spans="1:23" x14ac:dyDescent="0.25">
      <c r="A186" s="3" t="s">
        <v>176</v>
      </c>
      <c r="B186" s="3"/>
      <c r="C186" s="5"/>
      <c r="D186" s="5"/>
      <c r="E186" s="5"/>
      <c r="F186" s="5"/>
      <c r="G186" s="5"/>
      <c r="H186" s="5"/>
      <c r="I186" s="5"/>
      <c r="J186" s="5"/>
    </row>
    <row r="187" spans="1:23" x14ac:dyDescent="0.25">
      <c r="A187" s="3" t="s">
        <v>182</v>
      </c>
      <c r="B187" s="3"/>
      <c r="C187" s="32">
        <v>3000</v>
      </c>
      <c r="D187" s="5">
        <f>(C118*(1-'Stock WC'!$D$15))*$C$187*D124</f>
        <v>0</v>
      </c>
      <c r="E187" s="5">
        <f>((D118*(1-'Stock WC'!$D$15))+(C118*'Stock WC'!$D$15))*$C$187*E124</f>
        <v>0</v>
      </c>
      <c r="F187" s="5">
        <f>((E118*(1-'Stock WC'!$D$15))+(D118*'Stock WC'!$D$15))*$C$187*F124</f>
        <v>0</v>
      </c>
      <c r="G187" s="5">
        <f>((F118*(1-'Stock WC'!$D$15))+(E118*'Stock WC'!$D$15))*$C$187*G124</f>
        <v>0</v>
      </c>
      <c r="H187" s="5">
        <f>((G118*(1-'Stock WC'!$D$15))+(F118*'Stock WC'!$D$15))*$C$187*H124</f>
        <v>0</v>
      </c>
      <c r="I187" s="5">
        <f>((H118*(1-'Stock WC'!$D$15))+(G118*'Stock WC'!$D$15))*$C$187*I124</f>
        <v>0</v>
      </c>
      <c r="J187" s="5">
        <f>((I118*(1-'Stock WC'!$D$15))+(H118*'Stock WC'!$D$15))*$C$187*J124</f>
        <v>0</v>
      </c>
      <c r="U187" s="2"/>
      <c r="V187" s="2"/>
      <c r="W187" s="2"/>
    </row>
    <row r="188" spans="1:23" x14ac:dyDescent="0.25">
      <c r="A188" s="3" t="s">
        <v>183</v>
      </c>
      <c r="B188" s="3"/>
      <c r="C188" s="32">
        <v>2200</v>
      </c>
      <c r="D188" s="5">
        <f>(C119*(1-'Stock WC'!$D$15))*$C$188*D124</f>
        <v>0</v>
      </c>
      <c r="E188" s="5">
        <f>((D119*(1-'Stock WC'!$D$15))+(C119*'Stock WC'!$D$15))*$C$188*E124</f>
        <v>0</v>
      </c>
      <c r="F188" s="5">
        <f>((E119*(1-'Stock WC'!$D$15))+(D119*'Stock WC'!$D$15))*$C$188*F124</f>
        <v>0</v>
      </c>
      <c r="G188" s="5">
        <f>((F119*(1-'Stock WC'!$D$15))+(E119*'Stock WC'!$D$15))*$C$188*G124</f>
        <v>0</v>
      </c>
      <c r="H188" s="5">
        <f>((G119*(1-'Stock WC'!$D$15))+(F119*'Stock WC'!$D$15))*$C$188*H124</f>
        <v>0</v>
      </c>
      <c r="I188" s="5">
        <f>((H119*(1-'Stock WC'!$D$15))+(G119*'Stock WC'!$D$15))*$C$188*I124</f>
        <v>0</v>
      </c>
      <c r="J188" s="5">
        <f>((I119*(1-'Stock WC'!$D$15))+(H119*'Stock WC'!$D$15))*$C$188*J124</f>
        <v>0</v>
      </c>
    </row>
    <row r="189" spans="1:23" x14ac:dyDescent="0.25">
      <c r="A189" s="3"/>
      <c r="B189" s="3"/>
      <c r="C189" s="5"/>
      <c r="D189" s="5"/>
      <c r="E189" s="5"/>
      <c r="F189" s="5"/>
      <c r="G189" s="5"/>
      <c r="H189" s="5"/>
      <c r="I189" s="5"/>
      <c r="J189" s="5"/>
    </row>
    <row r="190" spans="1:23" x14ac:dyDescent="0.25">
      <c r="A190" s="3"/>
      <c r="B190" s="3"/>
      <c r="C190" s="5"/>
      <c r="D190" s="5"/>
      <c r="E190" s="5"/>
      <c r="F190" s="5"/>
      <c r="G190" s="5"/>
      <c r="H190" s="5"/>
      <c r="I190" s="5"/>
      <c r="J190" s="5"/>
    </row>
    <row r="191" spans="1:23" x14ac:dyDescent="0.25">
      <c r="A191" s="9" t="s">
        <v>139</v>
      </c>
      <c r="B191" s="9"/>
      <c r="C191" s="20"/>
      <c r="D191" s="20">
        <f t="shared" ref="D191:J191" si="54">SUM(D130:D188)</f>
        <v>0</v>
      </c>
      <c r="E191" s="20">
        <f t="shared" si="54"/>
        <v>0</v>
      </c>
      <c r="F191" s="20">
        <f t="shared" si="54"/>
        <v>0</v>
      </c>
      <c r="G191" s="20">
        <f t="shared" si="54"/>
        <v>0</v>
      </c>
      <c r="H191" s="20">
        <f t="shared" si="54"/>
        <v>0</v>
      </c>
      <c r="I191" s="20">
        <f t="shared" si="54"/>
        <v>0</v>
      </c>
      <c r="J191" s="20">
        <f t="shared" si="54"/>
        <v>0</v>
      </c>
    </row>
    <row r="192" spans="1:23" x14ac:dyDescent="0.25">
      <c r="A192" s="3"/>
      <c r="B192" s="3"/>
      <c r="C192" s="5"/>
      <c r="D192" s="5"/>
      <c r="E192" s="5"/>
      <c r="F192" s="5"/>
      <c r="G192" s="5"/>
      <c r="H192" s="5"/>
      <c r="I192" s="5"/>
      <c r="J192" s="5"/>
    </row>
    <row r="193" spans="1:10" x14ac:dyDescent="0.25">
      <c r="A193" s="3"/>
      <c r="B193" s="3"/>
      <c r="C193" s="5"/>
      <c r="D193" s="5"/>
      <c r="E193" s="5"/>
      <c r="F193" s="5"/>
      <c r="G193" s="5"/>
      <c r="H193" s="5"/>
      <c r="I193" s="5"/>
      <c r="J193" s="5"/>
    </row>
    <row r="194" spans="1:10" x14ac:dyDescent="0.25">
      <c r="A194" s="9" t="s">
        <v>138</v>
      </c>
      <c r="B194" s="9"/>
      <c r="C194" s="5"/>
      <c r="D194" s="5"/>
      <c r="E194" s="5"/>
      <c r="F194" s="5"/>
      <c r="G194" s="5"/>
      <c r="H194" s="5"/>
      <c r="I194" s="5"/>
      <c r="J194" s="5"/>
    </row>
    <row r="195" spans="1:10" x14ac:dyDescent="0.25">
      <c r="A195" s="9" t="str">
        <f>A128</f>
        <v>Seeds (Rate/KG)</v>
      </c>
      <c r="B195" s="9"/>
      <c r="C195" s="5"/>
      <c r="D195" s="5"/>
      <c r="E195" s="5"/>
      <c r="F195" s="5"/>
      <c r="G195" s="5"/>
      <c r="H195" s="5"/>
      <c r="I195" s="5"/>
      <c r="J195" s="5"/>
    </row>
    <row r="196" spans="1:10" x14ac:dyDescent="0.25">
      <c r="A196" s="1" t="s">
        <v>307</v>
      </c>
    </row>
    <row r="197" spans="1:10" x14ac:dyDescent="0.25">
      <c r="A197" s="3" t="str">
        <f t="shared" ref="A197:A238" si="55">A130</f>
        <v>Soybean</v>
      </c>
      <c r="C197" s="32">
        <v>85</v>
      </c>
      <c r="D197" s="5">
        <f t="shared" ref="D197:J206" si="56">C62*$C197*D$124</f>
        <v>0</v>
      </c>
      <c r="E197" s="5">
        <f t="shared" si="56"/>
        <v>0</v>
      </c>
      <c r="F197" s="5">
        <f t="shared" si="56"/>
        <v>0</v>
      </c>
      <c r="G197" s="5">
        <f t="shared" si="56"/>
        <v>0</v>
      </c>
      <c r="H197" s="5">
        <f t="shared" si="56"/>
        <v>0</v>
      </c>
      <c r="I197" s="5">
        <f t="shared" si="56"/>
        <v>0</v>
      </c>
      <c r="J197" s="5">
        <f t="shared" si="56"/>
        <v>0</v>
      </c>
    </row>
    <row r="198" spans="1:10" x14ac:dyDescent="0.25">
      <c r="A198" s="3" t="str">
        <f t="shared" si="55"/>
        <v>Red Gram/Tur</v>
      </c>
      <c r="B198" s="3"/>
      <c r="C198" s="32">
        <v>75</v>
      </c>
      <c r="D198" s="5">
        <f t="shared" si="56"/>
        <v>0</v>
      </c>
      <c r="E198" s="5">
        <f t="shared" si="56"/>
        <v>0</v>
      </c>
      <c r="F198" s="5">
        <f t="shared" si="56"/>
        <v>0</v>
      </c>
      <c r="G198" s="5">
        <f t="shared" si="56"/>
        <v>0</v>
      </c>
      <c r="H198" s="5">
        <f t="shared" si="56"/>
        <v>0</v>
      </c>
      <c r="I198" s="5">
        <f t="shared" si="56"/>
        <v>0</v>
      </c>
      <c r="J198" s="5">
        <f t="shared" si="56"/>
        <v>0</v>
      </c>
    </row>
    <row r="199" spans="1:10" x14ac:dyDescent="0.25">
      <c r="A199" s="3" t="str">
        <f t="shared" si="55"/>
        <v>Paddy/Rice</v>
      </c>
      <c r="B199" s="3"/>
      <c r="C199" s="32">
        <v>57</v>
      </c>
      <c r="D199" s="5">
        <f t="shared" si="56"/>
        <v>0</v>
      </c>
      <c r="E199" s="5">
        <f t="shared" si="56"/>
        <v>0</v>
      </c>
      <c r="F199" s="5">
        <f t="shared" si="56"/>
        <v>0</v>
      </c>
      <c r="G199" s="5">
        <f t="shared" si="56"/>
        <v>0</v>
      </c>
      <c r="H199" s="5">
        <f t="shared" si="56"/>
        <v>0</v>
      </c>
      <c r="I199" s="5">
        <f t="shared" si="56"/>
        <v>0</v>
      </c>
      <c r="J199" s="5">
        <f t="shared" si="56"/>
        <v>0</v>
      </c>
    </row>
    <row r="200" spans="1:10" x14ac:dyDescent="0.25">
      <c r="A200" s="3" t="str">
        <f t="shared" si="55"/>
        <v>Masoor/ Moong</v>
      </c>
      <c r="B200" s="3"/>
      <c r="C200" s="32">
        <v>80</v>
      </c>
      <c r="D200" s="5">
        <f t="shared" si="56"/>
        <v>0</v>
      </c>
      <c r="E200" s="5">
        <f t="shared" si="56"/>
        <v>0</v>
      </c>
      <c r="F200" s="5">
        <f t="shared" si="56"/>
        <v>0</v>
      </c>
      <c r="G200" s="5">
        <f t="shared" si="56"/>
        <v>0</v>
      </c>
      <c r="H200" s="5">
        <f t="shared" si="56"/>
        <v>0</v>
      </c>
      <c r="I200" s="5">
        <f t="shared" si="56"/>
        <v>0</v>
      </c>
      <c r="J200" s="5">
        <f t="shared" si="56"/>
        <v>0</v>
      </c>
    </row>
    <row r="201" spans="1:10" x14ac:dyDescent="0.25">
      <c r="A201" s="3" t="str">
        <f t="shared" si="55"/>
        <v>Sweet Potato</v>
      </c>
      <c r="B201" s="3"/>
      <c r="C201" s="32">
        <v>25</v>
      </c>
      <c r="D201" s="5">
        <f t="shared" si="56"/>
        <v>0</v>
      </c>
      <c r="E201" s="5">
        <f t="shared" si="56"/>
        <v>0</v>
      </c>
      <c r="F201" s="5">
        <f t="shared" si="56"/>
        <v>0</v>
      </c>
      <c r="G201" s="5">
        <f t="shared" si="56"/>
        <v>0</v>
      </c>
      <c r="H201" s="5">
        <f t="shared" si="56"/>
        <v>0</v>
      </c>
      <c r="I201" s="5">
        <f t="shared" si="56"/>
        <v>0</v>
      </c>
      <c r="J201" s="5">
        <f t="shared" si="56"/>
        <v>0</v>
      </c>
    </row>
    <row r="202" spans="1:10" x14ac:dyDescent="0.25">
      <c r="A202" s="3" t="str">
        <f t="shared" si="55"/>
        <v>Black Gram/Udid</v>
      </c>
      <c r="B202" s="3"/>
      <c r="C202" s="32">
        <v>70</v>
      </c>
      <c r="D202" s="5">
        <f t="shared" si="56"/>
        <v>0</v>
      </c>
      <c r="E202" s="5">
        <f t="shared" si="56"/>
        <v>0</v>
      </c>
      <c r="F202" s="5">
        <f t="shared" si="56"/>
        <v>0</v>
      </c>
      <c r="G202" s="5">
        <f t="shared" si="56"/>
        <v>0</v>
      </c>
      <c r="H202" s="5">
        <f t="shared" si="56"/>
        <v>0</v>
      </c>
      <c r="I202" s="5">
        <f t="shared" si="56"/>
        <v>0</v>
      </c>
      <c r="J202" s="5">
        <f t="shared" si="56"/>
        <v>0</v>
      </c>
    </row>
    <row r="203" spans="1:10" x14ac:dyDescent="0.25">
      <c r="A203" s="3" t="str">
        <f t="shared" si="55"/>
        <v>RAGI</v>
      </c>
      <c r="B203" s="3"/>
      <c r="C203" s="32">
        <v>25</v>
      </c>
      <c r="D203" s="5">
        <f t="shared" si="56"/>
        <v>0</v>
      </c>
      <c r="E203" s="5">
        <f t="shared" si="56"/>
        <v>0</v>
      </c>
      <c r="F203" s="5">
        <f t="shared" si="56"/>
        <v>0</v>
      </c>
      <c r="G203" s="5">
        <f t="shared" si="56"/>
        <v>0</v>
      </c>
      <c r="H203" s="5">
        <f t="shared" si="56"/>
        <v>0</v>
      </c>
      <c r="I203" s="5">
        <f t="shared" si="56"/>
        <v>0</v>
      </c>
      <c r="J203" s="5">
        <f t="shared" si="56"/>
        <v>0</v>
      </c>
    </row>
    <row r="204" spans="1:10" x14ac:dyDescent="0.25">
      <c r="A204" s="3" t="str">
        <f t="shared" si="55"/>
        <v>Jawar</v>
      </c>
      <c r="B204" s="3"/>
      <c r="C204" s="32">
        <v>25</v>
      </c>
      <c r="D204" s="5">
        <f t="shared" si="56"/>
        <v>0</v>
      </c>
      <c r="E204" s="5">
        <f t="shared" si="56"/>
        <v>0</v>
      </c>
      <c r="F204" s="5">
        <f t="shared" si="56"/>
        <v>0</v>
      </c>
      <c r="G204" s="5">
        <f t="shared" si="56"/>
        <v>0</v>
      </c>
      <c r="H204" s="5">
        <f t="shared" si="56"/>
        <v>0</v>
      </c>
      <c r="I204" s="5">
        <f t="shared" si="56"/>
        <v>0</v>
      </c>
      <c r="J204" s="5">
        <f t="shared" si="56"/>
        <v>0</v>
      </c>
    </row>
    <row r="205" spans="1:10" x14ac:dyDescent="0.25">
      <c r="A205" s="9" t="str">
        <f t="shared" si="55"/>
        <v>Rabi Crop</v>
      </c>
      <c r="B205" s="3"/>
      <c r="C205" s="32"/>
      <c r="D205" s="5">
        <f t="shared" si="56"/>
        <v>0</v>
      </c>
      <c r="E205" s="5">
        <f t="shared" si="56"/>
        <v>0</v>
      </c>
      <c r="F205" s="5">
        <f t="shared" si="56"/>
        <v>0</v>
      </c>
      <c r="G205" s="5">
        <f t="shared" si="56"/>
        <v>0</v>
      </c>
      <c r="H205" s="5">
        <f t="shared" si="56"/>
        <v>0</v>
      </c>
      <c r="I205" s="5">
        <f t="shared" si="56"/>
        <v>0</v>
      </c>
      <c r="J205" s="5">
        <f t="shared" si="56"/>
        <v>0</v>
      </c>
    </row>
    <row r="206" spans="1:10" x14ac:dyDescent="0.25">
      <c r="A206" s="3" t="str">
        <f t="shared" si="55"/>
        <v>Wheat</v>
      </c>
      <c r="B206" s="3"/>
      <c r="C206" s="32">
        <v>35</v>
      </c>
      <c r="D206" s="5">
        <f t="shared" si="56"/>
        <v>0</v>
      </c>
      <c r="E206" s="5">
        <f t="shared" si="56"/>
        <v>0</v>
      </c>
      <c r="F206" s="5">
        <f t="shared" si="56"/>
        <v>0</v>
      </c>
      <c r="G206" s="5">
        <f t="shared" si="56"/>
        <v>0</v>
      </c>
      <c r="H206" s="5">
        <f t="shared" si="56"/>
        <v>0</v>
      </c>
      <c r="I206" s="5">
        <f t="shared" si="56"/>
        <v>0</v>
      </c>
      <c r="J206" s="5">
        <f t="shared" si="56"/>
        <v>0</v>
      </c>
    </row>
    <row r="207" spans="1:10" x14ac:dyDescent="0.25">
      <c r="A207" s="3" t="str">
        <f t="shared" si="55"/>
        <v>Bengal Gram/Channa</v>
      </c>
      <c r="B207" s="3"/>
      <c r="C207" s="32">
        <v>70</v>
      </c>
      <c r="D207" s="5">
        <f t="shared" ref="D207:J216" si="57">C72*$C207*D$124</f>
        <v>0</v>
      </c>
      <c r="E207" s="5">
        <f t="shared" si="57"/>
        <v>0</v>
      </c>
      <c r="F207" s="5">
        <f t="shared" si="57"/>
        <v>0</v>
      </c>
      <c r="G207" s="5">
        <f t="shared" si="57"/>
        <v>0</v>
      </c>
      <c r="H207" s="5">
        <f t="shared" si="57"/>
        <v>0</v>
      </c>
      <c r="I207" s="5">
        <f t="shared" si="57"/>
        <v>0</v>
      </c>
      <c r="J207" s="5">
        <f t="shared" si="57"/>
        <v>0</v>
      </c>
    </row>
    <row r="208" spans="1:10" x14ac:dyDescent="0.25">
      <c r="A208" s="3" t="str">
        <f t="shared" si="55"/>
        <v>Jawar</v>
      </c>
      <c r="B208" s="3"/>
      <c r="C208" s="32">
        <v>25</v>
      </c>
      <c r="D208" s="5">
        <f t="shared" si="57"/>
        <v>0</v>
      </c>
      <c r="E208" s="5">
        <f t="shared" si="57"/>
        <v>0</v>
      </c>
      <c r="F208" s="5">
        <f t="shared" si="57"/>
        <v>0</v>
      </c>
      <c r="G208" s="5">
        <f t="shared" si="57"/>
        <v>0</v>
      </c>
      <c r="H208" s="5">
        <f t="shared" si="57"/>
        <v>0</v>
      </c>
      <c r="I208" s="5">
        <f t="shared" si="57"/>
        <v>0</v>
      </c>
      <c r="J208" s="5">
        <f t="shared" si="57"/>
        <v>0</v>
      </c>
    </row>
    <row r="209" spans="1:10" x14ac:dyDescent="0.25">
      <c r="A209" s="3" t="str">
        <f t="shared" si="55"/>
        <v>Sweet Potato</v>
      </c>
      <c r="B209" s="3"/>
      <c r="C209" s="32">
        <v>25</v>
      </c>
      <c r="D209" s="5">
        <f t="shared" si="57"/>
        <v>0</v>
      </c>
      <c r="E209" s="5">
        <f t="shared" si="57"/>
        <v>0</v>
      </c>
      <c r="F209" s="5">
        <f t="shared" si="57"/>
        <v>0</v>
      </c>
      <c r="G209" s="5">
        <f t="shared" si="57"/>
        <v>0</v>
      </c>
      <c r="H209" s="5">
        <f t="shared" si="57"/>
        <v>0</v>
      </c>
      <c r="I209" s="5">
        <f t="shared" si="57"/>
        <v>0</v>
      </c>
      <c r="J209" s="5">
        <f t="shared" si="57"/>
        <v>0</v>
      </c>
    </row>
    <row r="210" spans="1:10" x14ac:dyDescent="0.25">
      <c r="A210" s="3" t="str">
        <f t="shared" si="55"/>
        <v>Safflower</v>
      </c>
      <c r="B210" s="3"/>
      <c r="C210" s="32">
        <v>25</v>
      </c>
      <c r="D210" s="5">
        <f t="shared" si="57"/>
        <v>0</v>
      </c>
      <c r="E210" s="5">
        <f t="shared" si="57"/>
        <v>0</v>
      </c>
      <c r="F210" s="5">
        <f t="shared" si="57"/>
        <v>0</v>
      </c>
      <c r="G210" s="5">
        <f t="shared" si="57"/>
        <v>0</v>
      </c>
      <c r="H210" s="5">
        <f t="shared" si="57"/>
        <v>0</v>
      </c>
      <c r="I210" s="5">
        <f t="shared" si="57"/>
        <v>0</v>
      </c>
      <c r="J210" s="5">
        <f t="shared" si="57"/>
        <v>0</v>
      </c>
    </row>
    <row r="211" spans="1:10" x14ac:dyDescent="0.25">
      <c r="A211" s="3">
        <f t="shared" si="55"/>
        <v>0</v>
      </c>
      <c r="B211" s="3"/>
      <c r="C211" s="32"/>
      <c r="D211" s="5">
        <f t="shared" si="57"/>
        <v>0</v>
      </c>
      <c r="E211" s="5">
        <f t="shared" si="57"/>
        <v>0</v>
      </c>
      <c r="F211" s="5">
        <f t="shared" si="57"/>
        <v>0</v>
      </c>
      <c r="G211" s="5">
        <f t="shared" si="57"/>
        <v>0</v>
      </c>
      <c r="H211" s="5">
        <f t="shared" si="57"/>
        <v>0</v>
      </c>
      <c r="I211" s="5">
        <f t="shared" si="57"/>
        <v>0</v>
      </c>
      <c r="J211" s="5">
        <f t="shared" si="57"/>
        <v>0</v>
      </c>
    </row>
    <row r="212" spans="1:10" x14ac:dyDescent="0.25">
      <c r="A212" s="3">
        <f t="shared" si="55"/>
        <v>0</v>
      </c>
      <c r="B212" s="3"/>
      <c r="C212" s="32"/>
      <c r="D212" s="5">
        <f t="shared" si="57"/>
        <v>0</v>
      </c>
      <c r="E212" s="5">
        <f t="shared" si="57"/>
        <v>0</v>
      </c>
      <c r="F212" s="5">
        <f t="shared" si="57"/>
        <v>0</v>
      </c>
      <c r="G212" s="5">
        <f t="shared" si="57"/>
        <v>0</v>
      </c>
      <c r="H212" s="5">
        <f t="shared" si="57"/>
        <v>0</v>
      </c>
      <c r="I212" s="5">
        <f t="shared" si="57"/>
        <v>0</v>
      </c>
      <c r="J212" s="5">
        <f t="shared" si="57"/>
        <v>0</v>
      </c>
    </row>
    <row r="213" spans="1:10" x14ac:dyDescent="0.25">
      <c r="A213" s="3">
        <f t="shared" si="55"/>
        <v>0</v>
      </c>
      <c r="B213" s="3"/>
      <c r="C213" s="32"/>
      <c r="D213" s="5">
        <f t="shared" si="57"/>
        <v>0</v>
      </c>
      <c r="E213" s="5">
        <f t="shared" si="57"/>
        <v>0</v>
      </c>
      <c r="F213" s="5">
        <f t="shared" si="57"/>
        <v>0</v>
      </c>
      <c r="G213" s="5">
        <f t="shared" si="57"/>
        <v>0</v>
      </c>
      <c r="H213" s="5">
        <f t="shared" si="57"/>
        <v>0</v>
      </c>
      <c r="I213" s="5">
        <f t="shared" si="57"/>
        <v>0</v>
      </c>
      <c r="J213" s="5">
        <f t="shared" si="57"/>
        <v>0</v>
      </c>
    </row>
    <row r="214" spans="1:10" x14ac:dyDescent="0.25">
      <c r="A214" s="3" t="str">
        <f t="shared" si="55"/>
        <v>Summer</v>
      </c>
      <c r="B214" s="3"/>
      <c r="C214" s="32"/>
      <c r="D214" s="5">
        <f t="shared" si="57"/>
        <v>0</v>
      </c>
      <c r="E214" s="5">
        <f t="shared" si="57"/>
        <v>0</v>
      </c>
      <c r="F214" s="5">
        <f t="shared" si="57"/>
        <v>0</v>
      </c>
      <c r="G214" s="5">
        <f t="shared" si="57"/>
        <v>0</v>
      </c>
      <c r="H214" s="5">
        <f t="shared" si="57"/>
        <v>0</v>
      </c>
      <c r="I214" s="5">
        <f t="shared" si="57"/>
        <v>0</v>
      </c>
      <c r="J214" s="5">
        <f t="shared" si="57"/>
        <v>0</v>
      </c>
    </row>
    <row r="215" spans="1:10" x14ac:dyDescent="0.25">
      <c r="A215" s="3" t="str">
        <f t="shared" si="55"/>
        <v>Groundnut</v>
      </c>
      <c r="B215" s="3"/>
      <c r="C215" s="32"/>
      <c r="D215" s="5">
        <f t="shared" si="57"/>
        <v>0</v>
      </c>
      <c r="E215" s="5">
        <f t="shared" si="57"/>
        <v>0</v>
      </c>
      <c r="F215" s="5">
        <f t="shared" si="57"/>
        <v>0</v>
      </c>
      <c r="G215" s="5">
        <f t="shared" si="57"/>
        <v>0</v>
      </c>
      <c r="H215" s="5">
        <f t="shared" si="57"/>
        <v>0</v>
      </c>
      <c r="I215" s="5">
        <f t="shared" si="57"/>
        <v>0</v>
      </c>
      <c r="J215" s="5">
        <f t="shared" si="57"/>
        <v>0</v>
      </c>
    </row>
    <row r="216" spans="1:10" x14ac:dyDescent="0.25">
      <c r="A216" s="3" t="str">
        <f t="shared" si="55"/>
        <v>RAGI</v>
      </c>
      <c r="B216" s="3"/>
      <c r="C216" s="32"/>
      <c r="D216" s="5">
        <f t="shared" si="57"/>
        <v>0</v>
      </c>
      <c r="E216" s="5">
        <f t="shared" si="57"/>
        <v>0</v>
      </c>
      <c r="F216" s="5">
        <f t="shared" si="57"/>
        <v>0</v>
      </c>
      <c r="G216" s="5">
        <f t="shared" si="57"/>
        <v>0</v>
      </c>
      <c r="H216" s="5">
        <f t="shared" si="57"/>
        <v>0</v>
      </c>
      <c r="I216" s="5">
        <f t="shared" si="57"/>
        <v>0</v>
      </c>
      <c r="J216" s="5">
        <f t="shared" si="57"/>
        <v>0</v>
      </c>
    </row>
    <row r="217" spans="1:10" x14ac:dyDescent="0.25">
      <c r="A217" s="3">
        <f t="shared" si="55"/>
        <v>0</v>
      </c>
      <c r="B217" s="3"/>
      <c r="C217" s="32"/>
      <c r="D217" s="5">
        <f t="shared" ref="D217:J219" si="58">C82*$C217*D$124</f>
        <v>0</v>
      </c>
      <c r="E217" s="5">
        <f t="shared" si="58"/>
        <v>0</v>
      </c>
      <c r="F217" s="5">
        <f t="shared" si="58"/>
        <v>0</v>
      </c>
      <c r="G217" s="5">
        <f t="shared" si="58"/>
        <v>0</v>
      </c>
      <c r="H217" s="5">
        <f t="shared" si="58"/>
        <v>0</v>
      </c>
      <c r="I217" s="5">
        <f t="shared" si="58"/>
        <v>0</v>
      </c>
      <c r="J217" s="5">
        <f t="shared" si="58"/>
        <v>0</v>
      </c>
    </row>
    <row r="218" spans="1:10" x14ac:dyDescent="0.25">
      <c r="A218" s="3">
        <f t="shared" si="55"/>
        <v>0</v>
      </c>
      <c r="B218" s="3"/>
      <c r="C218" s="32"/>
      <c r="D218" s="5">
        <f t="shared" si="58"/>
        <v>0</v>
      </c>
      <c r="E218" s="5">
        <f t="shared" si="58"/>
        <v>0</v>
      </c>
      <c r="F218" s="5">
        <f t="shared" si="58"/>
        <v>0</v>
      </c>
      <c r="G218" s="5">
        <f t="shared" si="58"/>
        <v>0</v>
      </c>
      <c r="H218" s="5">
        <f t="shared" si="58"/>
        <v>0</v>
      </c>
      <c r="I218" s="5">
        <f t="shared" si="58"/>
        <v>0</v>
      </c>
      <c r="J218" s="5">
        <f t="shared" si="58"/>
        <v>0</v>
      </c>
    </row>
    <row r="219" spans="1:10" x14ac:dyDescent="0.25">
      <c r="A219" s="3">
        <f t="shared" si="55"/>
        <v>0</v>
      </c>
      <c r="B219" s="3"/>
      <c r="C219" s="32"/>
      <c r="D219" s="5">
        <f t="shared" si="58"/>
        <v>0</v>
      </c>
      <c r="E219" s="5">
        <f t="shared" si="58"/>
        <v>0</v>
      </c>
      <c r="F219" s="5">
        <f t="shared" si="58"/>
        <v>0</v>
      </c>
      <c r="G219" s="5">
        <f t="shared" si="58"/>
        <v>0</v>
      </c>
      <c r="H219" s="5">
        <f t="shared" si="58"/>
        <v>0</v>
      </c>
      <c r="I219" s="5">
        <f t="shared" si="58"/>
        <v>0</v>
      </c>
      <c r="J219" s="5">
        <f t="shared" si="58"/>
        <v>0</v>
      </c>
    </row>
    <row r="220" spans="1:10" x14ac:dyDescent="0.25">
      <c r="A220" s="3" t="str">
        <f t="shared" si="55"/>
        <v>Fruit  &amp; Vegetables Crop Production Details</v>
      </c>
      <c r="B220" s="3"/>
      <c r="C220" s="5"/>
      <c r="D220" s="5"/>
      <c r="E220" s="5"/>
      <c r="F220" s="5"/>
      <c r="G220" s="5"/>
      <c r="H220" s="5"/>
      <c r="I220" s="5"/>
      <c r="J220" s="5"/>
    </row>
    <row r="221" spans="1:10" x14ac:dyDescent="0.25">
      <c r="A221" s="3" t="str">
        <f t="shared" si="55"/>
        <v>Onion</v>
      </c>
      <c r="B221" s="3"/>
      <c r="C221" s="32"/>
      <c r="D221" s="5">
        <f t="shared" ref="D221:J230" si="59">C86*$C221*D$124</f>
        <v>0</v>
      </c>
      <c r="E221" s="5">
        <f t="shared" si="59"/>
        <v>0</v>
      </c>
      <c r="F221" s="5">
        <f t="shared" si="59"/>
        <v>0</v>
      </c>
      <c r="G221" s="5">
        <f t="shared" si="59"/>
        <v>0</v>
      </c>
      <c r="H221" s="5">
        <f t="shared" si="59"/>
        <v>0</v>
      </c>
      <c r="I221" s="5">
        <f t="shared" si="59"/>
        <v>0</v>
      </c>
      <c r="J221" s="5">
        <f t="shared" si="59"/>
        <v>0</v>
      </c>
    </row>
    <row r="222" spans="1:10" x14ac:dyDescent="0.25">
      <c r="A222" s="3" t="str">
        <f t="shared" si="55"/>
        <v>Tomato</v>
      </c>
      <c r="B222" s="3"/>
      <c r="C222" s="32"/>
      <c r="D222" s="5">
        <f t="shared" si="59"/>
        <v>0</v>
      </c>
      <c r="E222" s="5">
        <f t="shared" si="59"/>
        <v>0</v>
      </c>
      <c r="F222" s="5">
        <f t="shared" si="59"/>
        <v>0</v>
      </c>
      <c r="G222" s="5">
        <f t="shared" si="59"/>
        <v>0</v>
      </c>
      <c r="H222" s="5">
        <f t="shared" si="59"/>
        <v>0</v>
      </c>
      <c r="I222" s="5">
        <f t="shared" si="59"/>
        <v>0</v>
      </c>
      <c r="J222" s="5">
        <f t="shared" si="59"/>
        <v>0</v>
      </c>
    </row>
    <row r="223" spans="1:10" x14ac:dyDescent="0.25">
      <c r="A223" s="3" t="str">
        <f t="shared" si="55"/>
        <v>Okra</v>
      </c>
      <c r="B223" s="3"/>
      <c r="C223" s="32"/>
      <c r="D223" s="5">
        <f t="shared" si="59"/>
        <v>0</v>
      </c>
      <c r="E223" s="5">
        <f t="shared" si="59"/>
        <v>0</v>
      </c>
      <c r="F223" s="5">
        <f t="shared" si="59"/>
        <v>0</v>
      </c>
      <c r="G223" s="5">
        <f t="shared" si="59"/>
        <v>0</v>
      </c>
      <c r="H223" s="5">
        <f t="shared" si="59"/>
        <v>0</v>
      </c>
      <c r="I223" s="5">
        <f t="shared" si="59"/>
        <v>0</v>
      </c>
      <c r="J223" s="5">
        <f t="shared" si="59"/>
        <v>0</v>
      </c>
    </row>
    <row r="224" spans="1:10" x14ac:dyDescent="0.25">
      <c r="A224" s="3" t="str">
        <f t="shared" si="55"/>
        <v>Chilli</v>
      </c>
      <c r="B224" s="3"/>
      <c r="C224" s="32"/>
      <c r="D224" s="5">
        <f t="shared" si="59"/>
        <v>0</v>
      </c>
      <c r="E224" s="5">
        <f t="shared" si="59"/>
        <v>0</v>
      </c>
      <c r="F224" s="5">
        <f t="shared" si="59"/>
        <v>0</v>
      </c>
      <c r="G224" s="5">
        <f t="shared" si="59"/>
        <v>0</v>
      </c>
      <c r="H224" s="5">
        <f t="shared" si="59"/>
        <v>0</v>
      </c>
      <c r="I224" s="5">
        <f t="shared" si="59"/>
        <v>0</v>
      </c>
      <c r="J224" s="5">
        <f t="shared" si="59"/>
        <v>0</v>
      </c>
    </row>
    <row r="225" spans="1:10" x14ac:dyDescent="0.25">
      <c r="A225" s="3" t="str">
        <f t="shared" si="55"/>
        <v>Potato</v>
      </c>
      <c r="B225" s="3"/>
      <c r="C225" s="32"/>
      <c r="D225" s="5">
        <f t="shared" si="59"/>
        <v>0</v>
      </c>
      <c r="E225" s="5">
        <f t="shared" si="59"/>
        <v>0</v>
      </c>
      <c r="F225" s="5">
        <f t="shared" si="59"/>
        <v>0</v>
      </c>
      <c r="G225" s="5">
        <f t="shared" si="59"/>
        <v>0</v>
      </c>
      <c r="H225" s="5">
        <f t="shared" si="59"/>
        <v>0</v>
      </c>
      <c r="I225" s="5">
        <f t="shared" si="59"/>
        <v>0</v>
      </c>
      <c r="J225" s="5">
        <f t="shared" si="59"/>
        <v>0</v>
      </c>
    </row>
    <row r="226" spans="1:10" x14ac:dyDescent="0.25">
      <c r="A226" s="3" t="str">
        <f t="shared" si="55"/>
        <v>SWEET POTATO</v>
      </c>
      <c r="B226" s="3"/>
      <c r="C226" s="32"/>
      <c r="D226" s="5">
        <f t="shared" si="59"/>
        <v>0</v>
      </c>
      <c r="E226" s="5">
        <f t="shared" si="59"/>
        <v>0</v>
      </c>
      <c r="F226" s="5">
        <f t="shared" si="59"/>
        <v>0</v>
      </c>
      <c r="G226" s="5">
        <f t="shared" si="59"/>
        <v>0</v>
      </c>
      <c r="H226" s="5">
        <f t="shared" si="59"/>
        <v>0</v>
      </c>
      <c r="I226" s="5">
        <f t="shared" si="59"/>
        <v>0</v>
      </c>
      <c r="J226" s="5">
        <f t="shared" si="59"/>
        <v>0</v>
      </c>
    </row>
    <row r="227" spans="1:10" x14ac:dyDescent="0.25">
      <c r="A227" s="3">
        <f t="shared" si="55"/>
        <v>0</v>
      </c>
      <c r="B227" s="3"/>
      <c r="C227" s="32"/>
      <c r="D227" s="5">
        <f t="shared" si="59"/>
        <v>0</v>
      </c>
      <c r="E227" s="5">
        <f t="shared" si="59"/>
        <v>0</v>
      </c>
      <c r="F227" s="5">
        <f t="shared" si="59"/>
        <v>0</v>
      </c>
      <c r="G227" s="5">
        <f t="shared" si="59"/>
        <v>0</v>
      </c>
      <c r="H227" s="5">
        <f t="shared" si="59"/>
        <v>0</v>
      </c>
      <c r="I227" s="5">
        <f t="shared" si="59"/>
        <v>0</v>
      </c>
      <c r="J227" s="5">
        <f t="shared" si="59"/>
        <v>0</v>
      </c>
    </row>
    <row r="228" spans="1:10" x14ac:dyDescent="0.25">
      <c r="A228" s="3">
        <f t="shared" si="55"/>
        <v>0</v>
      </c>
      <c r="B228" s="3"/>
      <c r="C228" s="32"/>
      <c r="D228" s="5">
        <f t="shared" si="59"/>
        <v>0</v>
      </c>
      <c r="E228" s="5">
        <f t="shared" si="59"/>
        <v>0</v>
      </c>
      <c r="F228" s="5">
        <f t="shared" si="59"/>
        <v>0</v>
      </c>
      <c r="G228" s="5">
        <f t="shared" si="59"/>
        <v>0</v>
      </c>
      <c r="H228" s="5">
        <f t="shared" si="59"/>
        <v>0</v>
      </c>
      <c r="I228" s="5">
        <f t="shared" si="59"/>
        <v>0</v>
      </c>
      <c r="J228" s="5">
        <f t="shared" si="59"/>
        <v>0</v>
      </c>
    </row>
    <row r="229" spans="1:10" x14ac:dyDescent="0.25">
      <c r="A229" s="3">
        <f t="shared" si="55"/>
        <v>0</v>
      </c>
      <c r="B229" s="3"/>
      <c r="C229" s="32"/>
      <c r="D229" s="5">
        <f t="shared" si="59"/>
        <v>0</v>
      </c>
      <c r="E229" s="5">
        <f t="shared" si="59"/>
        <v>0</v>
      </c>
      <c r="F229" s="5">
        <f t="shared" si="59"/>
        <v>0</v>
      </c>
      <c r="G229" s="5">
        <f t="shared" si="59"/>
        <v>0</v>
      </c>
      <c r="H229" s="5">
        <f t="shared" si="59"/>
        <v>0</v>
      </c>
      <c r="I229" s="5">
        <f t="shared" si="59"/>
        <v>0</v>
      </c>
      <c r="J229" s="5">
        <f t="shared" si="59"/>
        <v>0</v>
      </c>
    </row>
    <row r="230" spans="1:10" x14ac:dyDescent="0.25">
      <c r="A230" s="3" t="str">
        <f t="shared" si="55"/>
        <v>Onion</v>
      </c>
      <c r="B230" s="3"/>
      <c r="C230" s="32"/>
      <c r="D230" s="5">
        <f t="shared" si="59"/>
        <v>0</v>
      </c>
      <c r="E230" s="5">
        <f t="shared" si="59"/>
        <v>0</v>
      </c>
      <c r="F230" s="5">
        <f t="shared" si="59"/>
        <v>0</v>
      </c>
      <c r="G230" s="5">
        <f t="shared" si="59"/>
        <v>0</v>
      </c>
      <c r="H230" s="5">
        <f t="shared" si="59"/>
        <v>0</v>
      </c>
      <c r="I230" s="5">
        <f t="shared" si="59"/>
        <v>0</v>
      </c>
      <c r="J230" s="5">
        <f t="shared" si="59"/>
        <v>0</v>
      </c>
    </row>
    <row r="231" spans="1:10" x14ac:dyDescent="0.25">
      <c r="A231" s="3" t="str">
        <f t="shared" si="55"/>
        <v>Tomato</v>
      </c>
      <c r="B231" s="3"/>
      <c r="C231" s="32"/>
      <c r="D231" s="5">
        <f t="shared" ref="D231:J238" si="60">C96*$C231*D$124</f>
        <v>0</v>
      </c>
      <c r="E231" s="5">
        <f t="shared" si="60"/>
        <v>0</v>
      </c>
      <c r="F231" s="5">
        <f t="shared" si="60"/>
        <v>0</v>
      </c>
      <c r="G231" s="5">
        <f t="shared" si="60"/>
        <v>0</v>
      </c>
      <c r="H231" s="5">
        <f t="shared" si="60"/>
        <v>0</v>
      </c>
      <c r="I231" s="5">
        <f t="shared" si="60"/>
        <v>0</v>
      </c>
      <c r="J231" s="5">
        <f t="shared" si="60"/>
        <v>0</v>
      </c>
    </row>
    <row r="232" spans="1:10" x14ac:dyDescent="0.25">
      <c r="A232" s="3" t="str">
        <f t="shared" si="55"/>
        <v>Okra</v>
      </c>
      <c r="B232" s="3"/>
      <c r="C232" s="32"/>
      <c r="D232" s="5">
        <f t="shared" si="60"/>
        <v>0</v>
      </c>
      <c r="E232" s="5">
        <f t="shared" si="60"/>
        <v>0</v>
      </c>
      <c r="F232" s="5">
        <f t="shared" si="60"/>
        <v>0</v>
      </c>
      <c r="G232" s="5">
        <f t="shared" si="60"/>
        <v>0</v>
      </c>
      <c r="H232" s="5">
        <f t="shared" si="60"/>
        <v>0</v>
      </c>
      <c r="I232" s="5">
        <f t="shared" si="60"/>
        <v>0</v>
      </c>
      <c r="J232" s="5">
        <f t="shared" si="60"/>
        <v>0</v>
      </c>
    </row>
    <row r="233" spans="1:10" x14ac:dyDescent="0.25">
      <c r="A233" s="3" t="str">
        <f t="shared" si="55"/>
        <v>Chilli</v>
      </c>
      <c r="B233" s="3"/>
      <c r="C233" s="32"/>
      <c r="D233" s="5">
        <f t="shared" si="60"/>
        <v>0</v>
      </c>
      <c r="E233" s="5">
        <f t="shared" si="60"/>
        <v>0</v>
      </c>
      <c r="F233" s="5">
        <f t="shared" si="60"/>
        <v>0</v>
      </c>
      <c r="G233" s="5">
        <f t="shared" si="60"/>
        <v>0</v>
      </c>
      <c r="H233" s="5">
        <f t="shared" si="60"/>
        <v>0</v>
      </c>
      <c r="I233" s="5">
        <f t="shared" si="60"/>
        <v>0</v>
      </c>
      <c r="J233" s="5">
        <f t="shared" si="60"/>
        <v>0</v>
      </c>
    </row>
    <row r="234" spans="1:10" x14ac:dyDescent="0.25">
      <c r="A234" s="3" t="str">
        <f t="shared" si="55"/>
        <v>Potato</v>
      </c>
      <c r="B234" s="3"/>
      <c r="C234" s="32"/>
      <c r="D234" s="5">
        <f t="shared" si="60"/>
        <v>0</v>
      </c>
      <c r="E234" s="5">
        <f t="shared" si="60"/>
        <v>0</v>
      </c>
      <c r="F234" s="5">
        <f t="shared" si="60"/>
        <v>0</v>
      </c>
      <c r="G234" s="5">
        <f t="shared" si="60"/>
        <v>0</v>
      </c>
      <c r="H234" s="5">
        <f t="shared" si="60"/>
        <v>0</v>
      </c>
      <c r="I234" s="5">
        <f t="shared" si="60"/>
        <v>0</v>
      </c>
      <c r="J234" s="5">
        <f t="shared" si="60"/>
        <v>0</v>
      </c>
    </row>
    <row r="235" spans="1:10" x14ac:dyDescent="0.25">
      <c r="A235" s="3" t="str">
        <f t="shared" si="55"/>
        <v>SWEET POTATO</v>
      </c>
      <c r="B235" s="3"/>
      <c r="C235" s="32"/>
      <c r="D235" s="5">
        <f t="shared" si="60"/>
        <v>0</v>
      </c>
      <c r="E235" s="5">
        <f t="shared" si="60"/>
        <v>0</v>
      </c>
      <c r="F235" s="5">
        <f t="shared" si="60"/>
        <v>0</v>
      </c>
      <c r="G235" s="5">
        <f t="shared" si="60"/>
        <v>0</v>
      </c>
      <c r="H235" s="5">
        <f t="shared" si="60"/>
        <v>0</v>
      </c>
      <c r="I235" s="5">
        <f t="shared" si="60"/>
        <v>0</v>
      </c>
      <c r="J235" s="5">
        <f t="shared" si="60"/>
        <v>0</v>
      </c>
    </row>
    <row r="236" spans="1:10" x14ac:dyDescent="0.25">
      <c r="A236" s="3">
        <f t="shared" si="55"/>
        <v>0</v>
      </c>
      <c r="B236" s="3"/>
      <c r="C236" s="32"/>
      <c r="D236" s="5">
        <f t="shared" si="60"/>
        <v>0</v>
      </c>
      <c r="E236" s="5">
        <f t="shared" si="60"/>
        <v>0</v>
      </c>
      <c r="F236" s="5">
        <f t="shared" si="60"/>
        <v>0</v>
      </c>
      <c r="G236" s="5">
        <f t="shared" si="60"/>
        <v>0</v>
      </c>
      <c r="H236" s="5">
        <f t="shared" si="60"/>
        <v>0</v>
      </c>
      <c r="I236" s="5">
        <f t="shared" si="60"/>
        <v>0</v>
      </c>
      <c r="J236" s="5">
        <f t="shared" si="60"/>
        <v>0</v>
      </c>
    </row>
    <row r="237" spans="1:10" x14ac:dyDescent="0.25">
      <c r="A237" s="3">
        <f t="shared" si="55"/>
        <v>0</v>
      </c>
      <c r="B237" s="3"/>
      <c r="C237" s="32"/>
      <c r="D237" s="5">
        <f t="shared" si="60"/>
        <v>0</v>
      </c>
      <c r="E237" s="5">
        <f t="shared" si="60"/>
        <v>0</v>
      </c>
      <c r="F237" s="5">
        <f t="shared" si="60"/>
        <v>0</v>
      </c>
      <c r="G237" s="5">
        <f t="shared" si="60"/>
        <v>0</v>
      </c>
      <c r="H237" s="5">
        <f t="shared" si="60"/>
        <v>0</v>
      </c>
      <c r="I237" s="5">
        <f t="shared" si="60"/>
        <v>0</v>
      </c>
      <c r="J237" s="5">
        <f t="shared" si="60"/>
        <v>0</v>
      </c>
    </row>
    <row r="238" spans="1:10" x14ac:dyDescent="0.25">
      <c r="A238" s="3">
        <f t="shared" si="55"/>
        <v>0</v>
      </c>
      <c r="B238" s="3"/>
      <c r="C238" s="32"/>
      <c r="D238" s="5">
        <f t="shared" si="60"/>
        <v>0</v>
      </c>
      <c r="E238" s="5">
        <f t="shared" si="60"/>
        <v>0</v>
      </c>
      <c r="F238" s="5">
        <f t="shared" si="60"/>
        <v>0</v>
      </c>
      <c r="G238" s="5">
        <f t="shared" si="60"/>
        <v>0</v>
      </c>
      <c r="H238" s="5">
        <f t="shared" si="60"/>
        <v>0</v>
      </c>
      <c r="I238" s="5">
        <f t="shared" si="60"/>
        <v>0</v>
      </c>
      <c r="J238" s="5">
        <f t="shared" si="60"/>
        <v>0</v>
      </c>
    </row>
    <row r="239" spans="1:10" x14ac:dyDescent="0.25">
      <c r="A239" s="3" t="str">
        <f>A175</f>
        <v>Pomegranate</v>
      </c>
      <c r="B239" s="3"/>
      <c r="C239" s="32"/>
      <c r="D239" s="5">
        <f t="shared" ref="D239:J243" si="61">C107*$C239*D$124</f>
        <v>0</v>
      </c>
      <c r="E239" s="5">
        <f t="shared" si="61"/>
        <v>0</v>
      </c>
      <c r="F239" s="5">
        <f t="shared" si="61"/>
        <v>0</v>
      </c>
      <c r="G239" s="5">
        <f t="shared" si="61"/>
        <v>0</v>
      </c>
      <c r="H239" s="5">
        <f t="shared" si="61"/>
        <v>0</v>
      </c>
      <c r="I239" s="5">
        <f t="shared" si="61"/>
        <v>0</v>
      </c>
      <c r="J239" s="5">
        <f t="shared" si="61"/>
        <v>0</v>
      </c>
    </row>
    <row r="240" spans="1:10" x14ac:dyDescent="0.25">
      <c r="A240" s="3" t="str">
        <f>A176</f>
        <v>Custard Apple</v>
      </c>
      <c r="B240" s="3"/>
      <c r="C240" s="32"/>
      <c r="D240" s="5">
        <f t="shared" si="61"/>
        <v>0</v>
      </c>
      <c r="E240" s="5">
        <f t="shared" si="61"/>
        <v>0</v>
      </c>
      <c r="F240" s="5">
        <f t="shared" si="61"/>
        <v>0</v>
      </c>
      <c r="G240" s="5">
        <f t="shared" si="61"/>
        <v>0</v>
      </c>
      <c r="H240" s="5">
        <f t="shared" si="61"/>
        <v>0</v>
      </c>
      <c r="I240" s="5">
        <f t="shared" si="61"/>
        <v>0</v>
      </c>
      <c r="J240" s="5">
        <f t="shared" si="61"/>
        <v>0</v>
      </c>
    </row>
    <row r="241" spans="1:10" x14ac:dyDescent="0.25">
      <c r="A241" s="3" t="str">
        <f>A177</f>
        <v>Guava</v>
      </c>
      <c r="B241" s="3"/>
      <c r="C241" s="32"/>
      <c r="D241" s="5">
        <f t="shared" si="61"/>
        <v>0</v>
      </c>
      <c r="E241" s="5">
        <f t="shared" si="61"/>
        <v>0</v>
      </c>
      <c r="F241" s="5">
        <f t="shared" si="61"/>
        <v>0</v>
      </c>
      <c r="G241" s="5">
        <f t="shared" si="61"/>
        <v>0</v>
      </c>
      <c r="H241" s="5">
        <f t="shared" si="61"/>
        <v>0</v>
      </c>
      <c r="I241" s="5">
        <f t="shared" si="61"/>
        <v>0</v>
      </c>
      <c r="J241" s="5">
        <f t="shared" si="61"/>
        <v>0</v>
      </c>
    </row>
    <row r="242" spans="1:10" x14ac:dyDescent="0.25">
      <c r="A242" s="3" t="str">
        <f>A178</f>
        <v>CASHEW</v>
      </c>
      <c r="B242" s="3"/>
      <c r="C242" s="32"/>
      <c r="D242" s="5">
        <f t="shared" si="61"/>
        <v>0</v>
      </c>
      <c r="E242" s="5">
        <f t="shared" si="61"/>
        <v>0</v>
      </c>
      <c r="F242" s="5">
        <f t="shared" si="61"/>
        <v>0</v>
      </c>
      <c r="G242" s="5">
        <f t="shared" si="61"/>
        <v>0</v>
      </c>
      <c r="H242" s="5">
        <f t="shared" si="61"/>
        <v>0</v>
      </c>
      <c r="I242" s="5">
        <f t="shared" si="61"/>
        <v>0</v>
      </c>
      <c r="J242" s="5">
        <f t="shared" si="61"/>
        <v>0</v>
      </c>
    </row>
    <row r="243" spans="1:10" x14ac:dyDescent="0.25">
      <c r="A243" s="3">
        <f>A179</f>
        <v>0</v>
      </c>
      <c r="B243" s="3"/>
      <c r="C243" s="32"/>
      <c r="D243" s="5">
        <f t="shared" si="61"/>
        <v>0</v>
      </c>
      <c r="E243" s="5">
        <f t="shared" si="61"/>
        <v>0</v>
      </c>
      <c r="F243" s="5">
        <f t="shared" si="61"/>
        <v>0</v>
      </c>
      <c r="G243" s="5">
        <f t="shared" si="61"/>
        <v>0</v>
      </c>
      <c r="H243" s="5">
        <f t="shared" si="61"/>
        <v>0</v>
      </c>
      <c r="I243" s="5">
        <f t="shared" si="61"/>
        <v>0</v>
      </c>
      <c r="J243" s="5">
        <f t="shared" si="61"/>
        <v>0</v>
      </c>
    </row>
    <row r="244" spans="1:10" x14ac:dyDescent="0.25">
      <c r="A244" s="3" t="str">
        <f>A181</f>
        <v>Fertilizer(Rate/KG)</v>
      </c>
      <c r="B244" s="3"/>
      <c r="C244" s="5"/>
      <c r="D244" s="5"/>
      <c r="E244" s="5"/>
      <c r="F244" s="5"/>
      <c r="G244" s="5"/>
      <c r="H244" s="5"/>
      <c r="I244" s="5"/>
      <c r="J244" s="5"/>
    </row>
    <row r="245" spans="1:10" x14ac:dyDescent="0.25">
      <c r="A245" s="3" t="str">
        <f>A182</f>
        <v>SSP</v>
      </c>
      <c r="B245" s="3"/>
      <c r="C245" s="32">
        <v>6</v>
      </c>
      <c r="D245" s="5">
        <f t="shared" ref="D245:J245" si="62">C114*$C$245*D124</f>
        <v>0</v>
      </c>
      <c r="E245" s="5">
        <f t="shared" si="62"/>
        <v>0</v>
      </c>
      <c r="F245" s="5">
        <f t="shared" si="62"/>
        <v>0</v>
      </c>
      <c r="G245" s="5">
        <f t="shared" si="62"/>
        <v>0</v>
      </c>
      <c r="H245" s="5">
        <f t="shared" si="62"/>
        <v>0</v>
      </c>
      <c r="I245" s="5">
        <f t="shared" si="62"/>
        <v>0</v>
      </c>
      <c r="J245" s="5">
        <f t="shared" si="62"/>
        <v>0</v>
      </c>
    </row>
    <row r="246" spans="1:10" x14ac:dyDescent="0.25">
      <c r="A246" s="3" t="str">
        <f>A183</f>
        <v>Urea</v>
      </c>
      <c r="B246" s="3"/>
      <c r="C246" s="32">
        <v>5</v>
      </c>
      <c r="D246" s="5">
        <f t="shared" ref="D246:J246" si="63">C115*$C$246*D124</f>
        <v>0</v>
      </c>
      <c r="E246" s="5">
        <f t="shared" si="63"/>
        <v>0</v>
      </c>
      <c r="F246" s="5">
        <f t="shared" si="63"/>
        <v>0</v>
      </c>
      <c r="G246" s="5">
        <f t="shared" si="63"/>
        <v>0</v>
      </c>
      <c r="H246" s="5">
        <f t="shared" si="63"/>
        <v>0</v>
      </c>
      <c r="I246" s="5">
        <f t="shared" si="63"/>
        <v>0</v>
      </c>
      <c r="J246" s="5">
        <f t="shared" si="63"/>
        <v>0</v>
      </c>
    </row>
    <row r="247" spans="1:10" x14ac:dyDescent="0.25">
      <c r="A247" s="3" t="str">
        <f>A184</f>
        <v>DAP</v>
      </c>
      <c r="B247" s="3"/>
      <c r="C247" s="32">
        <v>27</v>
      </c>
      <c r="D247" s="5">
        <f t="shared" ref="D247:J247" si="64">C116*$C$247*D124</f>
        <v>0</v>
      </c>
      <c r="E247" s="5">
        <f t="shared" si="64"/>
        <v>0</v>
      </c>
      <c r="F247" s="5">
        <f t="shared" si="64"/>
        <v>0</v>
      </c>
      <c r="G247" s="5">
        <f t="shared" si="64"/>
        <v>0</v>
      </c>
      <c r="H247" s="5">
        <f t="shared" si="64"/>
        <v>0</v>
      </c>
      <c r="I247" s="5">
        <f t="shared" si="64"/>
        <v>0</v>
      </c>
      <c r="J247" s="5">
        <f t="shared" si="64"/>
        <v>0</v>
      </c>
    </row>
    <row r="248" spans="1:10" x14ac:dyDescent="0.25">
      <c r="A248" s="3"/>
      <c r="B248" s="3"/>
      <c r="C248" s="5"/>
      <c r="D248" s="5"/>
      <c r="E248" s="5"/>
      <c r="F248" s="5"/>
      <c r="G248" s="5"/>
      <c r="H248" s="5"/>
      <c r="I248" s="5"/>
      <c r="J248" s="5"/>
    </row>
    <row r="249" spans="1:10" x14ac:dyDescent="0.25">
      <c r="A249" s="3" t="str">
        <f>A186</f>
        <v>Pesticide</v>
      </c>
      <c r="B249" s="3"/>
      <c r="C249" s="5"/>
      <c r="D249" s="5"/>
      <c r="E249" s="5"/>
      <c r="F249" s="5"/>
      <c r="G249" s="5"/>
      <c r="H249" s="5"/>
      <c r="I249" s="5"/>
      <c r="J249" s="5"/>
    </row>
    <row r="250" spans="1:10" x14ac:dyDescent="0.25">
      <c r="A250" s="3" t="str">
        <f>A187</f>
        <v>Dupont Coragen</v>
      </c>
      <c r="B250" s="3"/>
      <c r="C250" s="32">
        <v>2800</v>
      </c>
      <c r="D250" s="5">
        <f t="shared" ref="D250:J250" si="65">C118*$C$250*D124</f>
        <v>0</v>
      </c>
      <c r="E250" s="5">
        <f t="shared" si="65"/>
        <v>0</v>
      </c>
      <c r="F250" s="5">
        <f t="shared" si="65"/>
        <v>0</v>
      </c>
      <c r="G250" s="5">
        <f t="shared" si="65"/>
        <v>0</v>
      </c>
      <c r="H250" s="5">
        <f t="shared" si="65"/>
        <v>0</v>
      </c>
      <c r="I250" s="5">
        <f t="shared" si="65"/>
        <v>0</v>
      </c>
      <c r="J250" s="5">
        <f t="shared" si="65"/>
        <v>0</v>
      </c>
    </row>
    <row r="251" spans="1:10" x14ac:dyDescent="0.25">
      <c r="A251" s="3" t="str">
        <f>A188</f>
        <v>Confidor Boyer</v>
      </c>
      <c r="B251" s="3"/>
      <c r="C251" s="32">
        <v>2000</v>
      </c>
      <c r="D251" s="5">
        <f t="shared" ref="D251:J251" si="66">C119*$C$251*D124</f>
        <v>0</v>
      </c>
      <c r="E251" s="5">
        <f t="shared" si="66"/>
        <v>0</v>
      </c>
      <c r="F251" s="5">
        <f t="shared" si="66"/>
        <v>0</v>
      </c>
      <c r="G251" s="5">
        <f t="shared" si="66"/>
        <v>0</v>
      </c>
      <c r="H251" s="5">
        <f t="shared" si="66"/>
        <v>0</v>
      </c>
      <c r="I251" s="5">
        <f t="shared" si="66"/>
        <v>0</v>
      </c>
      <c r="J251" s="5">
        <f t="shared" si="66"/>
        <v>0</v>
      </c>
    </row>
    <row r="252" spans="1:10" x14ac:dyDescent="0.25">
      <c r="A252" s="3"/>
      <c r="B252" s="3"/>
      <c r="C252" s="5"/>
      <c r="D252" s="5"/>
      <c r="E252" s="5"/>
      <c r="F252" s="5"/>
      <c r="G252" s="5"/>
      <c r="H252" s="5"/>
      <c r="I252" s="5"/>
      <c r="J252" s="5"/>
    </row>
    <row r="253" spans="1:10" x14ac:dyDescent="0.25">
      <c r="A253" s="3" t="s">
        <v>287</v>
      </c>
      <c r="B253" s="3"/>
      <c r="C253" s="32">
        <v>10</v>
      </c>
      <c r="D253" s="5">
        <f t="shared" ref="D253:J253" si="67">(SUM(C63:C119)/50)*$C$253*D124</f>
        <v>0</v>
      </c>
      <c r="E253" s="5">
        <f t="shared" si="67"/>
        <v>0</v>
      </c>
      <c r="F253" s="5">
        <f t="shared" si="67"/>
        <v>0</v>
      </c>
      <c r="G253" s="5">
        <f t="shared" si="67"/>
        <v>0</v>
      </c>
      <c r="H253" s="5">
        <f t="shared" si="67"/>
        <v>0</v>
      </c>
      <c r="I253" s="5">
        <f t="shared" si="67"/>
        <v>0</v>
      </c>
      <c r="J253" s="5">
        <f t="shared" si="67"/>
        <v>0</v>
      </c>
    </row>
    <row r="254" spans="1:10" x14ac:dyDescent="0.25">
      <c r="A254" s="3" t="s">
        <v>168</v>
      </c>
      <c r="B254" s="3"/>
      <c r="C254" s="32">
        <v>100</v>
      </c>
      <c r="D254" s="5">
        <f t="shared" ref="D254:J254" si="68">(SUM(C63:C119)/50)*$C$254*D124</f>
        <v>0</v>
      </c>
      <c r="E254" s="5">
        <f t="shared" si="68"/>
        <v>0</v>
      </c>
      <c r="F254" s="5">
        <f t="shared" si="68"/>
        <v>0</v>
      </c>
      <c r="G254" s="5">
        <f t="shared" si="68"/>
        <v>0</v>
      </c>
      <c r="H254" s="5">
        <f t="shared" si="68"/>
        <v>0</v>
      </c>
      <c r="I254" s="5">
        <f t="shared" si="68"/>
        <v>0</v>
      </c>
      <c r="J254" s="5">
        <f t="shared" si="68"/>
        <v>0</v>
      </c>
    </row>
    <row r="255" spans="1:10" x14ac:dyDescent="0.25">
      <c r="A255" s="3"/>
      <c r="B255" s="3"/>
      <c r="C255" s="32"/>
      <c r="D255" s="42"/>
      <c r="E255" s="5"/>
      <c r="F255" s="5"/>
      <c r="G255" s="5"/>
      <c r="H255" s="5"/>
      <c r="I255" s="5"/>
      <c r="J255" s="5"/>
    </row>
    <row r="256" spans="1:10" x14ac:dyDescent="0.25">
      <c r="A256" s="3"/>
      <c r="B256" s="3"/>
      <c r="C256" s="32"/>
      <c r="D256" s="42"/>
      <c r="E256" s="5"/>
      <c r="F256" s="5"/>
      <c r="G256" s="5"/>
      <c r="H256" s="5"/>
      <c r="I256" s="5"/>
      <c r="J256" s="5"/>
    </row>
    <row r="257" spans="1:10" x14ac:dyDescent="0.25">
      <c r="A257" s="3"/>
      <c r="B257" s="3"/>
      <c r="C257" s="32"/>
      <c r="D257" s="42"/>
      <c r="E257" s="5"/>
      <c r="F257" s="5"/>
      <c r="G257" s="5"/>
      <c r="H257" s="5"/>
      <c r="I257" s="5"/>
      <c r="J257" s="5"/>
    </row>
    <row r="258" spans="1:10" x14ac:dyDescent="0.25">
      <c r="A258" s="3"/>
      <c r="B258" s="3"/>
      <c r="C258" s="32"/>
      <c r="D258" s="42"/>
      <c r="E258" s="5"/>
      <c r="F258" s="5"/>
      <c r="G258" s="5"/>
      <c r="H258" s="5"/>
      <c r="I258" s="5"/>
      <c r="J258" s="5"/>
    </row>
    <row r="259" spans="1:10" x14ac:dyDescent="0.25">
      <c r="A259" s="3" t="s">
        <v>338</v>
      </c>
      <c r="B259" s="3"/>
      <c r="C259" s="5"/>
      <c r="D259" s="42"/>
      <c r="E259" s="5">
        <f>'Stock WC'!F6</f>
        <v>0</v>
      </c>
      <c r="F259" s="5">
        <f>'Stock WC'!G6</f>
        <v>0</v>
      </c>
      <c r="G259" s="5">
        <f>'Stock WC'!H6</f>
        <v>0</v>
      </c>
      <c r="H259" s="5">
        <f>'Stock WC'!I6</f>
        <v>0</v>
      </c>
      <c r="I259" s="5">
        <f>'Stock WC'!J6</f>
        <v>0</v>
      </c>
      <c r="J259" s="5">
        <f>'Stock WC'!K6</f>
        <v>0</v>
      </c>
    </row>
    <row r="260" spans="1:10" x14ac:dyDescent="0.25">
      <c r="A260" s="17" t="s">
        <v>339</v>
      </c>
      <c r="B260" s="3"/>
      <c r="C260" s="3"/>
      <c r="D260" s="42">
        <f>'Stock WC'!E15</f>
        <v>0</v>
      </c>
      <c r="E260" s="5">
        <f>'Stock WC'!F15</f>
        <v>0</v>
      </c>
      <c r="F260" s="5">
        <f>'Stock WC'!G15</f>
        <v>0</v>
      </c>
      <c r="G260" s="5">
        <f>'Stock WC'!H15</f>
        <v>0</v>
      </c>
      <c r="H260" s="5">
        <f>'Stock WC'!I15</f>
        <v>0</v>
      </c>
      <c r="I260" s="5">
        <f>'Stock WC'!J15</f>
        <v>0</v>
      </c>
      <c r="J260" s="5">
        <f>'Stock WC'!K15</f>
        <v>0</v>
      </c>
    </row>
    <row r="261" spans="1:10" x14ac:dyDescent="0.25">
      <c r="A261" s="3"/>
      <c r="B261" s="3"/>
      <c r="C261" s="3"/>
    </row>
    <row r="262" spans="1:10" x14ac:dyDescent="0.25">
      <c r="A262" s="9" t="s">
        <v>317</v>
      </c>
      <c r="B262" s="9"/>
      <c r="C262" s="20"/>
      <c r="D262" s="20">
        <f>SUM(D197:D258)+D259-D260</f>
        <v>0</v>
      </c>
      <c r="E262" s="20">
        <f t="shared" ref="E262:J262" si="69">SUM(E197:E258)+E259-E260</f>
        <v>0</v>
      </c>
      <c r="F262" s="20">
        <f t="shared" si="69"/>
        <v>0</v>
      </c>
      <c r="G262" s="20">
        <f t="shared" si="69"/>
        <v>0</v>
      </c>
      <c r="H262" s="20">
        <f t="shared" si="69"/>
        <v>0</v>
      </c>
      <c r="I262" s="20">
        <f t="shared" si="69"/>
        <v>0</v>
      </c>
      <c r="J262" s="20">
        <f t="shared" si="69"/>
        <v>0</v>
      </c>
    </row>
    <row r="263" spans="1:10" x14ac:dyDescent="0.25">
      <c r="A263" s="3"/>
      <c r="B263" s="3"/>
      <c r="C263" s="5"/>
      <c r="D263" s="5"/>
      <c r="E263" s="5"/>
      <c r="F263" s="5"/>
      <c r="G263" s="5"/>
      <c r="H263" s="5"/>
      <c r="I263" s="5"/>
      <c r="J263" s="5"/>
    </row>
    <row r="264" spans="1:10" x14ac:dyDescent="0.25">
      <c r="A264" s="9" t="s">
        <v>305</v>
      </c>
      <c r="B264" s="9"/>
      <c r="C264" s="5"/>
      <c r="D264" s="5"/>
      <c r="E264" s="5"/>
      <c r="F264" s="5"/>
      <c r="G264" s="5"/>
      <c r="H264" s="5"/>
      <c r="I264" s="5"/>
      <c r="J264" s="5"/>
    </row>
    <row r="265" spans="1:10" x14ac:dyDescent="0.25">
      <c r="A265" s="3" t="s">
        <v>322</v>
      </c>
      <c r="B265" s="3">
        <v>12</v>
      </c>
      <c r="C265" s="32"/>
      <c r="D265" s="5">
        <f t="shared" ref="D265:J265" si="70">$B$265*$C$265*D124</f>
        <v>0</v>
      </c>
      <c r="E265" s="5">
        <f t="shared" si="70"/>
        <v>0</v>
      </c>
      <c r="F265" s="5">
        <f t="shared" si="70"/>
        <v>0</v>
      </c>
      <c r="G265" s="5">
        <f t="shared" si="70"/>
        <v>0</v>
      </c>
      <c r="H265" s="5">
        <f t="shared" si="70"/>
        <v>0</v>
      </c>
      <c r="I265" s="5">
        <f t="shared" si="70"/>
        <v>0</v>
      </c>
      <c r="J265" s="5">
        <f t="shared" si="70"/>
        <v>0</v>
      </c>
    </row>
    <row r="266" spans="1:10" x14ac:dyDescent="0.25">
      <c r="A266" s="3" t="s">
        <v>323</v>
      </c>
      <c r="B266" s="31">
        <v>1</v>
      </c>
      <c r="C266" s="32"/>
      <c r="D266" s="5">
        <f t="shared" ref="D266:J266" si="71">$B$266*$C$266*12*D124</f>
        <v>0</v>
      </c>
      <c r="E266" s="5">
        <f t="shared" si="71"/>
        <v>0</v>
      </c>
      <c r="F266" s="5">
        <f t="shared" si="71"/>
        <v>0</v>
      </c>
      <c r="G266" s="5">
        <f t="shared" si="71"/>
        <v>0</v>
      </c>
      <c r="H266" s="5">
        <f t="shared" si="71"/>
        <v>0</v>
      </c>
      <c r="I266" s="5">
        <f t="shared" si="71"/>
        <v>0</v>
      </c>
      <c r="J266" s="5">
        <f t="shared" si="71"/>
        <v>0</v>
      </c>
    </row>
    <row r="267" spans="1:10" x14ac:dyDescent="0.25">
      <c r="A267" s="3" t="s">
        <v>188</v>
      </c>
      <c r="B267" s="31">
        <v>1</v>
      </c>
      <c r="C267" s="32"/>
      <c r="D267" s="5">
        <f t="shared" ref="D267:J267" si="72">$B$267*$C$267*12*D124</f>
        <v>0</v>
      </c>
      <c r="E267" s="5">
        <f t="shared" si="72"/>
        <v>0</v>
      </c>
      <c r="F267" s="5">
        <f t="shared" si="72"/>
        <v>0</v>
      </c>
      <c r="G267" s="5">
        <f t="shared" si="72"/>
        <v>0</v>
      </c>
      <c r="H267" s="5">
        <f t="shared" si="72"/>
        <v>0</v>
      </c>
      <c r="I267" s="5">
        <f t="shared" si="72"/>
        <v>0</v>
      </c>
      <c r="J267" s="5">
        <f t="shared" si="72"/>
        <v>0</v>
      </c>
    </row>
    <row r="268" spans="1:10" x14ac:dyDescent="0.25">
      <c r="A268" s="3" t="s">
        <v>324</v>
      </c>
      <c r="B268" s="3">
        <v>12</v>
      </c>
      <c r="C268" s="32"/>
      <c r="D268" s="5">
        <f t="shared" ref="D268:J268" si="73">$B$268*$C$268*D124</f>
        <v>0</v>
      </c>
      <c r="E268" s="5">
        <f t="shared" si="73"/>
        <v>0</v>
      </c>
      <c r="F268" s="5">
        <f t="shared" si="73"/>
        <v>0</v>
      </c>
      <c r="G268" s="5">
        <f t="shared" si="73"/>
        <v>0</v>
      </c>
      <c r="H268" s="5">
        <f t="shared" si="73"/>
        <v>0</v>
      </c>
      <c r="I268" s="5">
        <f t="shared" si="73"/>
        <v>0</v>
      </c>
      <c r="J268" s="5">
        <f t="shared" si="73"/>
        <v>0</v>
      </c>
    </row>
    <row r="269" spans="1:10" x14ac:dyDescent="0.25">
      <c r="A269" s="3"/>
      <c r="B269" s="3"/>
      <c r="C269" s="32"/>
      <c r="D269" s="5"/>
      <c r="E269" s="5"/>
      <c r="F269" s="5"/>
      <c r="G269" s="5"/>
      <c r="H269" s="5"/>
      <c r="I269" s="5"/>
      <c r="J269" s="5"/>
    </row>
    <row r="270" spans="1:10" x14ac:dyDescent="0.25">
      <c r="A270" s="3"/>
      <c r="B270" s="3"/>
      <c r="C270" s="32"/>
      <c r="D270" s="5"/>
      <c r="E270" s="5"/>
      <c r="F270" s="5"/>
      <c r="G270" s="5"/>
      <c r="H270" s="5"/>
      <c r="I270" s="5"/>
      <c r="J270" s="5"/>
    </row>
    <row r="271" spans="1:10" x14ac:dyDescent="0.25">
      <c r="A271" s="3"/>
      <c r="B271" s="3"/>
      <c r="C271" s="32"/>
      <c r="D271" s="5"/>
      <c r="E271" s="5"/>
      <c r="F271" s="5"/>
      <c r="G271" s="5"/>
      <c r="H271" s="5"/>
      <c r="I271" s="5"/>
      <c r="J271" s="5"/>
    </row>
    <row r="272" spans="1:10" x14ac:dyDescent="0.25">
      <c r="A272" s="3"/>
      <c r="B272" s="3"/>
      <c r="C272" s="32"/>
      <c r="D272" s="5"/>
      <c r="E272" s="5"/>
      <c r="F272" s="5"/>
      <c r="G272" s="5"/>
      <c r="H272" s="5"/>
      <c r="I272" s="5"/>
      <c r="J272" s="5"/>
    </row>
    <row r="273" spans="1:10" x14ac:dyDescent="0.25">
      <c r="A273" s="9" t="s">
        <v>321</v>
      </c>
      <c r="B273" s="9"/>
      <c r="C273" s="20"/>
      <c r="D273" s="20">
        <f>SUM(D265:D272)</f>
        <v>0</v>
      </c>
      <c r="E273" s="20">
        <f t="shared" ref="E273:J273" si="74">SUM(E265:E272)</f>
        <v>0</v>
      </c>
      <c r="F273" s="20">
        <f t="shared" si="74"/>
        <v>0</v>
      </c>
      <c r="G273" s="20">
        <f t="shared" si="74"/>
        <v>0</v>
      </c>
      <c r="H273" s="20">
        <f t="shared" si="74"/>
        <v>0</v>
      </c>
      <c r="I273" s="20">
        <f t="shared" si="74"/>
        <v>0</v>
      </c>
      <c r="J273" s="20">
        <f t="shared" si="74"/>
        <v>0</v>
      </c>
    </row>
    <row r="274" spans="1:10" x14ac:dyDescent="0.25">
      <c r="A274" s="36" t="s">
        <v>133</v>
      </c>
      <c r="B274" s="36"/>
      <c r="C274" s="43"/>
      <c r="D274" s="20">
        <f t="shared" ref="D274:J274" si="75">D262+D273</f>
        <v>0</v>
      </c>
      <c r="E274" s="20">
        <f t="shared" si="75"/>
        <v>0</v>
      </c>
      <c r="F274" s="20">
        <f t="shared" si="75"/>
        <v>0</v>
      </c>
      <c r="G274" s="20">
        <f t="shared" si="75"/>
        <v>0</v>
      </c>
      <c r="H274" s="20">
        <f t="shared" si="75"/>
        <v>0</v>
      </c>
      <c r="I274" s="20">
        <f t="shared" si="75"/>
        <v>0</v>
      </c>
      <c r="J274" s="20">
        <f t="shared" si="75"/>
        <v>0</v>
      </c>
    </row>
    <row r="275" spans="1:10" x14ac:dyDescent="0.25">
      <c r="A275" s="3"/>
      <c r="B275" s="3"/>
      <c r="C275" s="5"/>
      <c r="D275" s="5"/>
      <c r="E275" s="5"/>
      <c r="F275" s="5"/>
      <c r="G275" s="5"/>
      <c r="H275" s="5"/>
      <c r="I275" s="5"/>
      <c r="J275" s="5"/>
    </row>
    <row r="276" spans="1:10" x14ac:dyDescent="0.25">
      <c r="A276" s="36" t="s">
        <v>7</v>
      </c>
      <c r="B276" s="36"/>
      <c r="C276" s="43"/>
      <c r="D276" s="20">
        <f t="shared" ref="D276:J276" si="76">D191-D274</f>
        <v>0</v>
      </c>
      <c r="E276" s="20">
        <f t="shared" si="76"/>
        <v>0</v>
      </c>
      <c r="F276" s="20">
        <f t="shared" si="76"/>
        <v>0</v>
      </c>
      <c r="G276" s="20">
        <f t="shared" si="76"/>
        <v>0</v>
      </c>
      <c r="H276" s="20">
        <f t="shared" si="76"/>
        <v>0</v>
      </c>
      <c r="I276" s="20">
        <f t="shared" si="76"/>
        <v>0</v>
      </c>
      <c r="J276" s="20">
        <f t="shared" si="76"/>
        <v>0</v>
      </c>
    </row>
    <row r="277" spans="1:10" x14ac:dyDescent="0.25">
      <c r="A277" s="6"/>
      <c r="B277" s="6"/>
      <c r="C277" s="6"/>
    </row>
    <row r="279" spans="1:10" x14ac:dyDescent="0.25">
      <c r="A279" s="625" t="s">
        <v>412</v>
      </c>
      <c r="B279" s="625"/>
      <c r="C279" s="625"/>
      <c r="D279" s="625"/>
      <c r="E279" s="625"/>
      <c r="F279" s="625"/>
      <c r="G279" s="625"/>
      <c r="H279" s="625"/>
      <c r="I279" s="625"/>
      <c r="J279" s="625"/>
    </row>
    <row r="281" spans="1:10" x14ac:dyDescent="0.25">
      <c r="A281" s="1" t="s">
        <v>518</v>
      </c>
    </row>
    <row r="282" spans="1:10" x14ac:dyDescent="0.25">
      <c r="A282" s="1">
        <v>1</v>
      </c>
      <c r="B282" s="1" t="s">
        <v>531</v>
      </c>
    </row>
    <row r="283" spans="1:10" x14ac:dyDescent="0.25">
      <c r="A283" s="1">
        <v>2</v>
      </c>
      <c r="B283" s="1" t="s">
        <v>532</v>
      </c>
    </row>
    <row r="284" spans="1:10" x14ac:dyDescent="0.25">
      <c r="A284" s="1">
        <v>3</v>
      </c>
      <c r="B284" s="1" t="s">
        <v>581</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82" zoomScale="85" zoomScaleNormal="100" zoomScaleSheetLayoutView="85" workbookViewId="0">
      <selection activeCell="C5" sqref="C5"/>
    </sheetView>
  </sheetViews>
  <sheetFormatPr defaultColWidth="8.7109375" defaultRowHeight="15" x14ac:dyDescent="0.25"/>
  <cols>
    <col min="1" max="1" width="41.7109375" style="1" bestFit="1" customWidth="1"/>
    <col min="2" max="2" width="11.5703125" style="1" bestFit="1" customWidth="1"/>
    <col min="3" max="3" width="12.5703125" style="1" bestFit="1" customWidth="1"/>
    <col min="4" max="4" width="15.140625" style="1" customWidth="1"/>
    <col min="5" max="8" width="17.28515625" style="1" customWidth="1"/>
    <col min="9" max="10" width="16.85546875" style="1" bestFit="1" customWidth="1"/>
    <col min="11" max="16384" width="8.7109375" style="1"/>
  </cols>
  <sheetData>
    <row r="3" spans="1:8" x14ac:dyDescent="0.35">
      <c r="A3" s="625" t="s">
        <v>576</v>
      </c>
      <c r="B3" s="625"/>
      <c r="C3" s="625"/>
      <c r="D3" s="625"/>
      <c r="E3" s="625"/>
      <c r="F3" s="625"/>
      <c r="G3" s="625"/>
      <c r="H3" s="625"/>
    </row>
    <row r="4" spans="1:8" x14ac:dyDescent="0.35">
      <c r="A4" s="625" t="s">
        <v>577</v>
      </c>
      <c r="B4" s="625"/>
      <c r="C4" s="625"/>
      <c r="D4" s="625"/>
      <c r="E4" s="625"/>
      <c r="F4" s="625"/>
      <c r="G4" s="625"/>
      <c r="H4" s="625"/>
    </row>
    <row r="5" spans="1:8" x14ac:dyDescent="0.35">
      <c r="A5" s="1" t="s">
        <v>157</v>
      </c>
      <c r="B5" s="10">
        <v>1</v>
      </c>
      <c r="C5" s="1" t="s">
        <v>458</v>
      </c>
    </row>
    <row r="6" spans="1:8" x14ac:dyDescent="0.35">
      <c r="A6" s="1" t="s">
        <v>158</v>
      </c>
      <c r="B6" s="11">
        <v>8</v>
      </c>
    </row>
    <row r="7" spans="1:8" x14ac:dyDescent="0.35">
      <c r="B7" s="11"/>
    </row>
    <row r="8" spans="1:8" x14ac:dyDescent="0.35">
      <c r="B8" s="11"/>
    </row>
    <row r="11" spans="1:8" x14ac:dyDescent="0.35">
      <c r="A11" s="12" t="s">
        <v>0</v>
      </c>
      <c r="B11" s="13" t="s">
        <v>2</v>
      </c>
      <c r="C11" s="13" t="s">
        <v>3</v>
      </c>
      <c r="D11" s="13" t="s">
        <v>4</v>
      </c>
      <c r="E11" s="13" t="s">
        <v>5</v>
      </c>
      <c r="F11" s="13" t="s">
        <v>6</v>
      </c>
      <c r="G11" s="13" t="s">
        <v>165</v>
      </c>
      <c r="H11" s="13" t="s">
        <v>164</v>
      </c>
    </row>
    <row r="12" spans="1:8" x14ac:dyDescent="0.35">
      <c r="A12" s="3" t="s">
        <v>166</v>
      </c>
      <c r="B12" s="14"/>
      <c r="C12" s="14"/>
      <c r="D12" s="14"/>
      <c r="E12" s="14"/>
      <c r="F12" s="14"/>
      <c r="G12" s="14"/>
      <c r="H12" s="14"/>
    </row>
    <row r="13" spans="1:8" x14ac:dyDescent="0.35">
      <c r="A13" s="3" t="str">
        <f>'F&amp;V '!A74</f>
        <v>Onion</v>
      </c>
      <c r="B13" s="3"/>
      <c r="C13" s="3"/>
      <c r="D13" s="3"/>
      <c r="E13" s="3"/>
      <c r="F13" s="3"/>
      <c r="G13" s="3"/>
      <c r="H13" s="3"/>
    </row>
    <row r="14" spans="1:8" x14ac:dyDescent="0.35">
      <c r="A14" s="3" t="str">
        <f>'F&amp;V '!A75</f>
        <v>Tomato</v>
      </c>
      <c r="B14" s="3"/>
      <c r="C14" s="3"/>
      <c r="D14" s="3"/>
      <c r="E14" s="3"/>
      <c r="F14" s="3"/>
      <c r="G14" s="3"/>
      <c r="H14" s="3"/>
    </row>
    <row r="15" spans="1:8" x14ac:dyDescent="0.35">
      <c r="A15" s="3" t="str">
        <f>'F&amp;V '!A76</f>
        <v>Okra</v>
      </c>
      <c r="B15" s="3"/>
      <c r="C15" s="3"/>
      <c r="D15" s="3"/>
      <c r="E15" s="3"/>
      <c r="F15" s="3"/>
      <c r="G15" s="3"/>
      <c r="H15" s="3"/>
    </row>
    <row r="16" spans="1:8" x14ac:dyDescent="0.35">
      <c r="A16" s="3" t="str">
        <f>'F&amp;V '!A77</f>
        <v>Chilli</v>
      </c>
      <c r="B16" s="3"/>
      <c r="C16" s="3"/>
      <c r="D16" s="3"/>
      <c r="E16" s="3"/>
      <c r="F16" s="3"/>
      <c r="G16" s="3"/>
      <c r="H16" s="3"/>
    </row>
    <row r="17" spans="1:8" x14ac:dyDescent="0.35">
      <c r="A17" s="3" t="str">
        <f>'F&amp;V '!A78</f>
        <v>Potato</v>
      </c>
      <c r="B17" s="3"/>
      <c r="C17" s="3"/>
      <c r="D17" s="3"/>
      <c r="E17" s="3"/>
      <c r="F17" s="3"/>
      <c r="G17" s="3"/>
      <c r="H17" s="3"/>
    </row>
    <row r="18" spans="1:8" x14ac:dyDescent="0.35">
      <c r="A18" s="3" t="str">
        <f>'F&amp;V '!A79</f>
        <v>SWEET POTATO</v>
      </c>
      <c r="B18" s="3"/>
      <c r="C18" s="3"/>
      <c r="D18" s="3"/>
      <c r="E18" s="3"/>
      <c r="F18" s="3"/>
      <c r="G18" s="3"/>
      <c r="H18" s="3"/>
    </row>
    <row r="19" spans="1:8" x14ac:dyDescent="0.35">
      <c r="A19" s="3">
        <f>'F&amp;V '!A80</f>
        <v>0</v>
      </c>
      <c r="B19" s="3"/>
      <c r="C19" s="3"/>
      <c r="D19" s="3"/>
      <c r="E19" s="3"/>
      <c r="F19" s="3"/>
      <c r="G19" s="3"/>
      <c r="H19" s="3"/>
    </row>
    <row r="20" spans="1:8" x14ac:dyDescent="0.35">
      <c r="A20" s="3">
        <f>'F&amp;V '!A81</f>
        <v>0</v>
      </c>
      <c r="B20" s="3"/>
      <c r="C20" s="3"/>
      <c r="D20" s="3"/>
      <c r="E20" s="3"/>
      <c r="F20" s="3"/>
      <c r="G20" s="3"/>
      <c r="H20" s="3"/>
    </row>
    <row r="21" spans="1:8" x14ac:dyDescent="0.35">
      <c r="A21" s="3">
        <f>'F&amp;V '!A82</f>
        <v>0</v>
      </c>
      <c r="B21" s="3"/>
      <c r="C21" s="3"/>
      <c r="D21" s="3"/>
      <c r="E21" s="3"/>
      <c r="F21" s="3"/>
      <c r="G21" s="3"/>
      <c r="H21" s="3"/>
    </row>
    <row r="22" spans="1:8" x14ac:dyDescent="0.35">
      <c r="A22" s="3" t="str">
        <f>'F&amp;V '!A83</f>
        <v>Onion</v>
      </c>
      <c r="B22" s="3"/>
      <c r="C22" s="3"/>
      <c r="D22" s="3"/>
      <c r="E22" s="3"/>
      <c r="F22" s="3"/>
      <c r="G22" s="3"/>
      <c r="H22" s="3"/>
    </row>
    <row r="23" spans="1:8" x14ac:dyDescent="0.35">
      <c r="A23" s="3" t="str">
        <f>'F&amp;V '!A84</f>
        <v>Tomato</v>
      </c>
      <c r="B23" s="3"/>
      <c r="C23" s="3"/>
      <c r="D23" s="3"/>
      <c r="E23" s="3"/>
      <c r="F23" s="3"/>
      <c r="G23" s="3"/>
      <c r="H23" s="3"/>
    </row>
    <row r="24" spans="1:8" x14ac:dyDescent="0.35">
      <c r="A24" s="3" t="str">
        <f>'F&amp;V '!A85</f>
        <v>Okra</v>
      </c>
      <c r="B24" s="3"/>
      <c r="C24" s="3"/>
      <c r="D24" s="3"/>
      <c r="E24" s="3"/>
      <c r="F24" s="3"/>
      <c r="G24" s="3"/>
      <c r="H24" s="3"/>
    </row>
    <row r="25" spans="1:8" x14ac:dyDescent="0.35">
      <c r="A25" s="3" t="str">
        <f>'F&amp;V '!A86</f>
        <v>Chilli</v>
      </c>
      <c r="B25" s="3"/>
      <c r="C25" s="3"/>
      <c r="D25" s="3"/>
      <c r="E25" s="3"/>
      <c r="F25" s="3"/>
      <c r="G25" s="3"/>
      <c r="H25" s="3"/>
    </row>
    <row r="26" spans="1:8" x14ac:dyDescent="0.35">
      <c r="A26" s="3" t="str">
        <f>'F&amp;V '!A87</f>
        <v>Potato</v>
      </c>
      <c r="B26" s="3"/>
      <c r="C26" s="3"/>
      <c r="D26" s="3"/>
      <c r="E26" s="3"/>
      <c r="F26" s="3"/>
      <c r="G26" s="3"/>
      <c r="H26" s="3"/>
    </row>
    <row r="27" spans="1:8" x14ac:dyDescent="0.35">
      <c r="A27" s="3" t="str">
        <f>'F&amp;V '!A88</f>
        <v>SWEET POTATO</v>
      </c>
      <c r="B27" s="3"/>
      <c r="C27" s="3"/>
      <c r="D27" s="3"/>
      <c r="E27" s="3"/>
      <c r="F27" s="3"/>
      <c r="G27" s="3"/>
      <c r="H27" s="3"/>
    </row>
    <row r="28" spans="1:8" x14ac:dyDescent="0.35">
      <c r="A28" s="3">
        <f>'F&amp;V '!A89</f>
        <v>0</v>
      </c>
      <c r="B28" s="3"/>
      <c r="C28" s="3"/>
      <c r="D28" s="3"/>
      <c r="E28" s="3"/>
      <c r="F28" s="3"/>
      <c r="G28" s="3"/>
      <c r="H28" s="3"/>
    </row>
    <row r="29" spans="1:8" x14ac:dyDescent="0.35">
      <c r="A29" s="3">
        <f>'F&amp;V '!A90</f>
        <v>0</v>
      </c>
      <c r="B29" s="3"/>
      <c r="C29" s="3"/>
      <c r="D29" s="3"/>
      <c r="E29" s="3"/>
      <c r="F29" s="3"/>
      <c r="G29" s="3"/>
      <c r="H29" s="3"/>
    </row>
    <row r="30" spans="1:8" x14ac:dyDescent="0.35">
      <c r="A30" s="3">
        <f>'F&amp;V '!A91</f>
        <v>0</v>
      </c>
      <c r="B30" s="3"/>
      <c r="C30" s="3"/>
      <c r="D30" s="3"/>
      <c r="E30" s="3"/>
      <c r="F30" s="3"/>
      <c r="G30" s="3"/>
      <c r="H30" s="3"/>
    </row>
    <row r="31" spans="1:8" x14ac:dyDescent="0.35">
      <c r="A31" s="3">
        <f>'F&amp;V '!A92</f>
        <v>0</v>
      </c>
      <c r="B31" s="3"/>
      <c r="C31" s="3"/>
      <c r="D31" s="3"/>
      <c r="E31" s="3"/>
      <c r="F31" s="3"/>
      <c r="G31" s="3"/>
      <c r="H31" s="3"/>
    </row>
    <row r="32" spans="1:8" x14ac:dyDescent="0.35">
      <c r="A32" s="3">
        <f>'F&amp;V '!A93</f>
        <v>0</v>
      </c>
      <c r="B32" s="3"/>
      <c r="C32" s="3"/>
      <c r="D32" s="3"/>
      <c r="E32" s="3"/>
      <c r="F32" s="3"/>
      <c r="G32" s="3"/>
      <c r="H32" s="3"/>
    </row>
    <row r="33" spans="1:8" x14ac:dyDescent="0.35">
      <c r="A33" s="3">
        <f>'F&amp;V '!A94</f>
        <v>0</v>
      </c>
      <c r="B33" s="3"/>
      <c r="C33" s="3"/>
      <c r="D33" s="3"/>
      <c r="E33" s="3"/>
      <c r="F33" s="3"/>
      <c r="G33" s="3"/>
      <c r="H33" s="3"/>
    </row>
    <row r="34" spans="1:8" x14ac:dyDescent="0.35">
      <c r="A34" s="3" t="str">
        <f>'F&amp;V '!A95</f>
        <v>Pomegranate</v>
      </c>
      <c r="B34" s="3"/>
      <c r="C34" s="3"/>
      <c r="D34" s="3"/>
      <c r="E34" s="3"/>
      <c r="F34" s="3"/>
      <c r="G34" s="3"/>
      <c r="H34" s="3"/>
    </row>
    <row r="35" spans="1:8" x14ac:dyDescent="0.35">
      <c r="A35" s="3" t="str">
        <f>'F&amp;V '!A96</f>
        <v>Custard Apple</v>
      </c>
      <c r="B35" s="3"/>
      <c r="C35" s="3"/>
      <c r="D35" s="3"/>
      <c r="E35" s="3"/>
      <c r="F35" s="3"/>
      <c r="G35" s="3"/>
      <c r="H35" s="3"/>
    </row>
    <row r="36" spans="1:8" x14ac:dyDescent="0.35">
      <c r="A36" s="3" t="str">
        <f>'F&amp;V '!A97</f>
        <v>Guava</v>
      </c>
      <c r="B36" s="3"/>
      <c r="C36" s="3"/>
      <c r="D36" s="3"/>
      <c r="E36" s="3"/>
      <c r="F36" s="3"/>
      <c r="G36" s="3"/>
      <c r="H36" s="3"/>
    </row>
    <row r="37" spans="1:8" x14ac:dyDescent="0.35">
      <c r="A37" s="3" t="str">
        <f>'F&amp;V '!A98</f>
        <v>CASHEW</v>
      </c>
      <c r="B37" s="3"/>
      <c r="C37" s="3"/>
      <c r="D37" s="3"/>
      <c r="E37" s="3"/>
      <c r="F37" s="3"/>
      <c r="G37" s="3"/>
      <c r="H37" s="3"/>
    </row>
    <row r="38" spans="1:8" x14ac:dyDescent="0.35">
      <c r="A38" s="3"/>
      <c r="B38" s="3"/>
      <c r="C38" s="3"/>
      <c r="D38" s="3"/>
      <c r="E38" s="3"/>
      <c r="F38" s="3"/>
      <c r="G38" s="3"/>
      <c r="H38" s="3"/>
    </row>
    <row r="39" spans="1:8" x14ac:dyDescent="0.35">
      <c r="A39" s="3" t="s">
        <v>449</v>
      </c>
      <c r="B39" s="3"/>
      <c r="C39" s="3"/>
      <c r="D39" s="3"/>
      <c r="E39" s="3"/>
      <c r="F39" s="3"/>
      <c r="G39" s="3"/>
      <c r="H39" s="3"/>
    </row>
    <row r="40" spans="1:8" x14ac:dyDescent="0.35">
      <c r="A40" s="15" t="s">
        <v>161</v>
      </c>
      <c r="B40" s="16"/>
      <c r="C40" s="16"/>
      <c r="D40" s="16"/>
      <c r="E40" s="16"/>
      <c r="F40" s="16"/>
      <c r="G40" s="16"/>
      <c r="H40" s="16"/>
    </row>
    <row r="41" spans="1:8" x14ac:dyDescent="0.35">
      <c r="A41" s="17" t="s">
        <v>459</v>
      </c>
      <c r="B41" s="18"/>
      <c r="C41" s="18"/>
      <c r="D41" s="18"/>
      <c r="E41" s="18"/>
      <c r="F41" s="18"/>
      <c r="G41" s="18"/>
      <c r="H41" s="18"/>
    </row>
    <row r="42" spans="1:8" x14ac:dyDescent="0.35">
      <c r="A42" s="9" t="s">
        <v>161</v>
      </c>
      <c r="B42" s="19"/>
      <c r="C42" s="19"/>
      <c r="D42" s="19"/>
      <c r="E42" s="19"/>
      <c r="F42" s="19"/>
      <c r="G42" s="19"/>
      <c r="H42" s="19"/>
    </row>
    <row r="43" spans="1:8" x14ac:dyDescent="0.35">
      <c r="A43" s="9" t="s">
        <v>162</v>
      </c>
      <c r="B43" s="20"/>
      <c r="C43" s="20"/>
      <c r="D43" s="20"/>
      <c r="E43" s="20"/>
      <c r="F43" s="20"/>
      <c r="G43" s="20"/>
      <c r="H43" s="20"/>
    </row>
    <row r="44" spans="1:8" x14ac:dyDescent="0.35">
      <c r="A44" s="3" t="str">
        <f t="shared" ref="A44:A61" si="0">A13</f>
        <v>Onion</v>
      </c>
      <c r="B44" s="5"/>
      <c r="C44" s="5"/>
      <c r="D44" s="5"/>
      <c r="E44" s="5"/>
      <c r="F44" s="5"/>
      <c r="G44" s="5"/>
      <c r="H44" s="5"/>
    </row>
    <row r="45" spans="1:8" x14ac:dyDescent="0.35">
      <c r="A45" s="3" t="str">
        <f t="shared" si="0"/>
        <v>Tomato</v>
      </c>
      <c r="B45" s="5"/>
      <c r="C45" s="5"/>
      <c r="D45" s="5"/>
      <c r="E45" s="5"/>
      <c r="F45" s="5"/>
      <c r="G45" s="5"/>
      <c r="H45" s="5"/>
    </row>
    <row r="46" spans="1:8" x14ac:dyDescent="0.35">
      <c r="A46" s="3" t="str">
        <f t="shared" si="0"/>
        <v>Okra</v>
      </c>
      <c r="B46" s="5"/>
      <c r="C46" s="5"/>
      <c r="D46" s="5"/>
      <c r="E46" s="5"/>
      <c r="F46" s="5"/>
      <c r="G46" s="5"/>
      <c r="H46" s="5"/>
    </row>
    <row r="47" spans="1:8" x14ac:dyDescent="0.35">
      <c r="A47" s="3" t="str">
        <f t="shared" si="0"/>
        <v>Chilli</v>
      </c>
      <c r="B47" s="5"/>
      <c r="C47" s="5"/>
      <c r="D47" s="5"/>
      <c r="E47" s="5"/>
      <c r="F47" s="5"/>
      <c r="G47" s="5"/>
      <c r="H47" s="5"/>
    </row>
    <row r="48" spans="1:8" x14ac:dyDescent="0.35">
      <c r="A48" s="3" t="str">
        <f t="shared" si="0"/>
        <v>Potato</v>
      </c>
      <c r="B48" s="5"/>
      <c r="C48" s="5"/>
      <c r="D48" s="5"/>
      <c r="E48" s="5"/>
      <c r="F48" s="5"/>
      <c r="G48" s="5"/>
      <c r="H48" s="5"/>
    </row>
    <row r="49" spans="1:8" x14ac:dyDescent="0.35">
      <c r="A49" s="3" t="str">
        <f t="shared" si="0"/>
        <v>SWEET POTATO</v>
      </c>
      <c r="B49" s="5"/>
      <c r="C49" s="5"/>
      <c r="D49" s="5"/>
      <c r="E49" s="5"/>
      <c r="F49" s="5"/>
      <c r="G49" s="5"/>
      <c r="H49" s="5"/>
    </row>
    <row r="50" spans="1:8" x14ac:dyDescent="0.35">
      <c r="A50" s="3">
        <f t="shared" si="0"/>
        <v>0</v>
      </c>
      <c r="B50" s="5"/>
      <c r="C50" s="5"/>
      <c r="D50" s="5"/>
      <c r="E50" s="5"/>
      <c r="F50" s="5"/>
      <c r="G50" s="5"/>
      <c r="H50" s="5"/>
    </row>
    <row r="51" spans="1:8" x14ac:dyDescent="0.35">
      <c r="A51" s="3">
        <f t="shared" si="0"/>
        <v>0</v>
      </c>
      <c r="B51" s="5"/>
      <c r="C51" s="5"/>
      <c r="D51" s="5"/>
      <c r="E51" s="5"/>
      <c r="F51" s="5"/>
      <c r="G51" s="5"/>
      <c r="H51" s="5"/>
    </row>
    <row r="52" spans="1:8" x14ac:dyDescent="0.35">
      <c r="A52" s="3">
        <f t="shared" si="0"/>
        <v>0</v>
      </c>
      <c r="B52" s="5"/>
      <c r="C52" s="5"/>
      <c r="D52" s="5"/>
      <c r="E52" s="5"/>
      <c r="F52" s="5"/>
      <c r="G52" s="5"/>
      <c r="H52" s="5"/>
    </row>
    <row r="53" spans="1:8" x14ac:dyDescent="0.35">
      <c r="A53" s="3" t="str">
        <f t="shared" si="0"/>
        <v>Onion</v>
      </c>
      <c r="B53" s="5"/>
      <c r="C53" s="5"/>
      <c r="D53" s="5"/>
      <c r="E53" s="5"/>
      <c r="F53" s="5"/>
      <c r="G53" s="5"/>
      <c r="H53" s="5"/>
    </row>
    <row r="54" spans="1:8" x14ac:dyDescent="0.35">
      <c r="A54" s="3" t="str">
        <f t="shared" si="0"/>
        <v>Tomato</v>
      </c>
      <c r="B54" s="5"/>
      <c r="C54" s="5"/>
      <c r="D54" s="5"/>
      <c r="E54" s="5"/>
      <c r="F54" s="5"/>
      <c r="G54" s="5"/>
      <c r="H54" s="5"/>
    </row>
    <row r="55" spans="1:8" x14ac:dyDescent="0.35">
      <c r="A55" s="3" t="str">
        <f t="shared" si="0"/>
        <v>Okra</v>
      </c>
      <c r="B55" s="5"/>
      <c r="C55" s="5"/>
      <c r="D55" s="5"/>
      <c r="E55" s="5"/>
      <c r="F55" s="5"/>
      <c r="G55" s="5"/>
      <c r="H55" s="5"/>
    </row>
    <row r="56" spans="1:8" x14ac:dyDescent="0.35">
      <c r="A56" s="3" t="str">
        <f t="shared" si="0"/>
        <v>Chilli</v>
      </c>
      <c r="B56" s="5"/>
      <c r="C56" s="5"/>
      <c r="D56" s="5"/>
      <c r="E56" s="5"/>
      <c r="F56" s="5"/>
      <c r="G56" s="5"/>
      <c r="H56" s="5"/>
    </row>
    <row r="57" spans="1:8" x14ac:dyDescent="0.35">
      <c r="A57" s="3" t="str">
        <f t="shared" si="0"/>
        <v>Potato</v>
      </c>
      <c r="B57" s="5"/>
      <c r="C57" s="5"/>
      <c r="D57" s="5"/>
      <c r="E57" s="5"/>
      <c r="F57" s="5"/>
      <c r="G57" s="5"/>
      <c r="H57" s="5"/>
    </row>
    <row r="58" spans="1:8" x14ac:dyDescent="0.35">
      <c r="A58" s="3" t="str">
        <f t="shared" si="0"/>
        <v>SWEET POTATO</v>
      </c>
      <c r="B58" s="5"/>
      <c r="C58" s="5"/>
      <c r="D58" s="5"/>
      <c r="E58" s="5"/>
      <c r="F58" s="5"/>
      <c r="G58" s="5"/>
      <c r="H58" s="5"/>
    </row>
    <row r="59" spans="1:8" x14ac:dyDescent="0.35">
      <c r="A59" s="3">
        <f t="shared" si="0"/>
        <v>0</v>
      </c>
      <c r="B59" s="5"/>
      <c r="C59" s="5"/>
      <c r="D59" s="5"/>
      <c r="E59" s="5"/>
      <c r="F59" s="5"/>
      <c r="G59" s="5"/>
      <c r="H59" s="5"/>
    </row>
    <row r="60" spans="1:8" x14ac:dyDescent="0.35">
      <c r="A60" s="3">
        <f t="shared" si="0"/>
        <v>0</v>
      </c>
      <c r="B60" s="5"/>
      <c r="C60" s="5"/>
      <c r="D60" s="5"/>
      <c r="E60" s="5"/>
      <c r="F60" s="5"/>
      <c r="G60" s="5"/>
      <c r="H60" s="5"/>
    </row>
    <row r="61" spans="1:8" x14ac:dyDescent="0.35">
      <c r="A61" s="3">
        <f t="shared" si="0"/>
        <v>0</v>
      </c>
      <c r="B61" s="5"/>
      <c r="C61" s="5"/>
      <c r="D61" s="5"/>
      <c r="E61" s="5"/>
      <c r="F61" s="5"/>
      <c r="G61" s="5"/>
      <c r="H61" s="5"/>
    </row>
    <row r="62" spans="1:8" x14ac:dyDescent="0.35">
      <c r="A62" s="3" t="str">
        <f t="shared" ref="A62" si="1">A34</f>
        <v>Pomegranate</v>
      </c>
      <c r="B62" s="5"/>
      <c r="C62" s="5"/>
      <c r="D62" s="5"/>
      <c r="E62" s="5"/>
      <c r="F62" s="5"/>
      <c r="G62" s="5"/>
      <c r="H62" s="5"/>
    </row>
    <row r="63" spans="1:8" x14ac:dyDescent="0.35">
      <c r="A63" s="3" t="str">
        <f>A35</f>
        <v>Custard Apple</v>
      </c>
      <c r="B63" s="5"/>
      <c r="C63" s="5"/>
      <c r="D63" s="5"/>
      <c r="E63" s="5"/>
      <c r="F63" s="5"/>
      <c r="G63" s="5"/>
      <c r="H63" s="5"/>
    </row>
    <row r="64" spans="1:8" x14ac:dyDescent="0.35">
      <c r="A64" s="3" t="str">
        <f>A36</f>
        <v>Guava</v>
      </c>
      <c r="B64" s="5"/>
      <c r="C64" s="5"/>
      <c r="D64" s="5"/>
      <c r="E64" s="5"/>
      <c r="F64" s="5"/>
      <c r="G64" s="5"/>
      <c r="H64" s="5"/>
    </row>
    <row r="65" spans="1:8" x14ac:dyDescent="0.35">
      <c r="A65" s="3" t="str">
        <f>A37</f>
        <v>CASHEW</v>
      </c>
      <c r="B65" s="5"/>
      <c r="C65" s="5"/>
      <c r="D65" s="5"/>
      <c r="E65" s="5"/>
      <c r="F65" s="5"/>
      <c r="G65" s="5"/>
      <c r="H65" s="5"/>
    </row>
    <row r="66" spans="1:8" x14ac:dyDescent="0.35">
      <c r="A66" s="9" t="s">
        <v>281</v>
      </c>
      <c r="B66" s="3"/>
      <c r="C66" s="3"/>
      <c r="D66" s="3"/>
      <c r="E66" s="3"/>
      <c r="F66" s="3"/>
      <c r="G66" s="3"/>
      <c r="H66" s="3"/>
    </row>
    <row r="67" spans="1:8" x14ac:dyDescent="0.35">
      <c r="A67" s="3" t="str">
        <f>A44</f>
        <v>Onion</v>
      </c>
      <c r="B67" s="21"/>
      <c r="C67" s="21"/>
      <c r="D67" s="21"/>
      <c r="E67" s="21"/>
      <c r="F67" s="21"/>
      <c r="G67" s="21"/>
      <c r="H67" s="21"/>
    </row>
    <row r="68" spans="1:8" x14ac:dyDescent="0.35">
      <c r="A68" s="3"/>
      <c r="B68" s="21"/>
      <c r="C68" s="21"/>
      <c r="D68" s="21"/>
      <c r="E68" s="21"/>
      <c r="F68" s="21"/>
      <c r="G68" s="21"/>
      <c r="H68" s="21"/>
    </row>
    <row r="69" spans="1:8" x14ac:dyDescent="0.35">
      <c r="A69" s="3"/>
      <c r="B69" s="21"/>
      <c r="C69" s="21"/>
      <c r="D69" s="21"/>
      <c r="E69" s="21"/>
      <c r="F69" s="21"/>
      <c r="G69" s="21"/>
      <c r="H69" s="21"/>
    </row>
    <row r="70" spans="1:8" x14ac:dyDescent="0.35">
      <c r="A70" s="3"/>
      <c r="B70" s="21"/>
      <c r="C70" s="21"/>
      <c r="D70" s="21"/>
      <c r="E70" s="21"/>
      <c r="F70" s="21"/>
      <c r="G70" s="21"/>
      <c r="H70" s="21"/>
    </row>
    <row r="71" spans="1:8" x14ac:dyDescent="0.35">
      <c r="A71" s="3" t="str">
        <f>A45</f>
        <v>Tomato</v>
      </c>
      <c r="B71" s="5"/>
      <c r="C71" s="5"/>
      <c r="D71" s="5"/>
      <c r="E71" s="5"/>
      <c r="F71" s="5"/>
      <c r="G71" s="5"/>
      <c r="H71" s="5"/>
    </row>
    <row r="72" spans="1:8" x14ac:dyDescent="0.35">
      <c r="A72" s="3"/>
      <c r="B72" s="5"/>
      <c r="C72" s="5"/>
      <c r="D72" s="5"/>
      <c r="E72" s="5"/>
      <c r="F72" s="5"/>
      <c r="G72" s="5"/>
      <c r="H72" s="5"/>
    </row>
    <row r="73" spans="1:8" x14ac:dyDescent="0.35">
      <c r="A73" s="3"/>
      <c r="B73" s="5"/>
      <c r="C73" s="5"/>
      <c r="D73" s="5"/>
      <c r="E73" s="5"/>
      <c r="F73" s="5"/>
      <c r="G73" s="5"/>
      <c r="H73" s="5"/>
    </row>
    <row r="74" spans="1:8" x14ac:dyDescent="0.35">
      <c r="A74" s="3"/>
      <c r="B74" s="5"/>
      <c r="C74" s="5"/>
      <c r="D74" s="5"/>
      <c r="E74" s="5"/>
      <c r="F74" s="5"/>
      <c r="G74" s="5"/>
      <c r="H74" s="5"/>
    </row>
    <row r="75" spans="1:8" x14ac:dyDescent="0.35">
      <c r="A75" s="3" t="str">
        <f>A46</f>
        <v>Okra</v>
      </c>
      <c r="B75" s="5"/>
      <c r="C75" s="5"/>
      <c r="D75" s="5"/>
      <c r="E75" s="5"/>
      <c r="F75" s="5"/>
      <c r="G75" s="5"/>
      <c r="H75" s="5"/>
    </row>
    <row r="76" spans="1:8" x14ac:dyDescent="0.35">
      <c r="A76" s="3"/>
      <c r="B76" s="5"/>
      <c r="C76" s="5"/>
      <c r="D76" s="5"/>
      <c r="E76" s="5"/>
      <c r="F76" s="5"/>
      <c r="G76" s="5"/>
      <c r="H76" s="5"/>
    </row>
    <row r="77" spans="1:8" x14ac:dyDescent="0.35">
      <c r="A77" s="3"/>
      <c r="B77" s="5"/>
      <c r="C77" s="5"/>
      <c r="D77" s="5"/>
      <c r="E77" s="5"/>
      <c r="F77" s="5"/>
      <c r="G77" s="5"/>
      <c r="H77" s="5"/>
    </row>
    <row r="78" spans="1:8" x14ac:dyDescent="0.35">
      <c r="A78" s="3"/>
      <c r="B78" s="5"/>
      <c r="C78" s="5"/>
      <c r="D78" s="5"/>
      <c r="E78" s="5"/>
      <c r="F78" s="5"/>
      <c r="G78" s="5"/>
      <c r="H78" s="5"/>
    </row>
    <row r="79" spans="1:8" x14ac:dyDescent="0.35">
      <c r="A79" s="3" t="str">
        <f>A47</f>
        <v>Chilli</v>
      </c>
      <c r="B79" s="5"/>
      <c r="C79" s="5"/>
      <c r="D79" s="5"/>
      <c r="E79" s="5"/>
      <c r="F79" s="5"/>
      <c r="G79" s="5"/>
      <c r="H79" s="5"/>
    </row>
    <row r="80" spans="1:8" x14ac:dyDescent="0.35">
      <c r="A80" s="3"/>
      <c r="B80" s="5"/>
      <c r="C80" s="5"/>
      <c r="D80" s="5"/>
      <c r="E80" s="5"/>
      <c r="F80" s="5"/>
      <c r="G80" s="5"/>
      <c r="H80" s="5"/>
    </row>
    <row r="81" spans="1:8" x14ac:dyDescent="0.35">
      <c r="A81" s="3"/>
      <c r="B81" s="5"/>
      <c r="C81" s="5"/>
      <c r="D81" s="5"/>
      <c r="E81" s="5"/>
      <c r="F81" s="5"/>
      <c r="G81" s="5"/>
      <c r="H81" s="5"/>
    </row>
    <row r="82" spans="1:8" x14ac:dyDescent="0.35">
      <c r="A82" s="3"/>
      <c r="B82" s="5"/>
      <c r="C82" s="5"/>
      <c r="D82" s="5"/>
      <c r="E82" s="5"/>
      <c r="F82" s="5"/>
      <c r="G82" s="5"/>
      <c r="H82" s="5"/>
    </row>
    <row r="83" spans="1:8" x14ac:dyDescent="0.35">
      <c r="A83" s="3" t="str">
        <f>A48</f>
        <v>Potato</v>
      </c>
      <c r="B83" s="5"/>
      <c r="C83" s="5"/>
      <c r="D83" s="5"/>
      <c r="E83" s="5"/>
      <c r="F83" s="5"/>
      <c r="G83" s="5"/>
      <c r="H83" s="5"/>
    </row>
    <row r="84" spans="1:8" x14ac:dyDescent="0.35">
      <c r="A84" s="3"/>
      <c r="B84" s="5"/>
      <c r="C84" s="5"/>
      <c r="D84" s="5"/>
      <c r="E84" s="5"/>
      <c r="F84" s="5"/>
      <c r="G84" s="5"/>
      <c r="H84" s="5"/>
    </row>
    <row r="85" spans="1:8" x14ac:dyDescent="0.35">
      <c r="A85" s="3"/>
      <c r="B85" s="5"/>
      <c r="C85" s="5"/>
      <c r="D85" s="5"/>
      <c r="E85" s="5"/>
      <c r="F85" s="5"/>
      <c r="G85" s="5"/>
      <c r="H85" s="5"/>
    </row>
    <row r="86" spans="1:8" x14ac:dyDescent="0.35">
      <c r="A86" s="3"/>
      <c r="B86" s="5"/>
      <c r="C86" s="5"/>
      <c r="D86" s="5"/>
      <c r="E86" s="5"/>
      <c r="F86" s="5"/>
      <c r="G86" s="5"/>
      <c r="H86" s="5"/>
    </row>
    <row r="87" spans="1:8" x14ac:dyDescent="0.35">
      <c r="A87" s="3" t="str">
        <f>A49</f>
        <v>SWEET POTATO</v>
      </c>
      <c r="B87" s="5"/>
      <c r="C87" s="5"/>
      <c r="D87" s="5"/>
      <c r="E87" s="5"/>
      <c r="F87" s="5"/>
      <c r="G87" s="5"/>
      <c r="H87" s="5"/>
    </row>
    <row r="88" spans="1:8" x14ac:dyDescent="0.35">
      <c r="A88" s="3"/>
      <c r="B88" s="5"/>
      <c r="C88" s="5"/>
      <c r="D88" s="5"/>
      <c r="E88" s="5"/>
      <c r="F88" s="5"/>
      <c r="G88" s="5"/>
      <c r="H88" s="5"/>
    </row>
    <row r="89" spans="1:8" x14ac:dyDescent="0.35">
      <c r="A89" s="3"/>
      <c r="B89" s="5"/>
      <c r="C89" s="5"/>
      <c r="D89" s="5"/>
      <c r="E89" s="5"/>
      <c r="F89" s="5"/>
      <c r="G89" s="5"/>
      <c r="H89" s="5"/>
    </row>
    <row r="90" spans="1:8" x14ac:dyDescent="0.35">
      <c r="A90" s="3"/>
      <c r="B90" s="5"/>
      <c r="C90" s="5"/>
      <c r="D90" s="5"/>
      <c r="E90" s="5"/>
      <c r="F90" s="5"/>
      <c r="G90" s="5"/>
      <c r="H90" s="5"/>
    </row>
    <row r="91" spans="1:8" x14ac:dyDescent="0.35">
      <c r="A91" s="3">
        <f>A50</f>
        <v>0</v>
      </c>
      <c r="B91" s="5"/>
      <c r="C91" s="5"/>
      <c r="D91" s="5"/>
      <c r="E91" s="5"/>
      <c r="F91" s="5"/>
      <c r="G91" s="5"/>
      <c r="H91" s="5"/>
    </row>
    <row r="92" spans="1:8" x14ac:dyDescent="0.35">
      <c r="A92" s="3"/>
      <c r="B92" s="5"/>
      <c r="C92" s="5"/>
      <c r="D92" s="5"/>
      <c r="E92" s="5"/>
      <c r="F92" s="5"/>
      <c r="G92" s="5"/>
      <c r="H92" s="5"/>
    </row>
    <row r="93" spans="1:8" x14ac:dyDescent="0.35">
      <c r="A93" s="3"/>
      <c r="B93" s="5"/>
      <c r="C93" s="5"/>
      <c r="D93" s="5"/>
      <c r="E93" s="5"/>
      <c r="F93" s="5"/>
      <c r="G93" s="5"/>
      <c r="H93" s="5"/>
    </row>
    <row r="94" spans="1:8" x14ac:dyDescent="0.35">
      <c r="A94" s="3">
        <f>A51</f>
        <v>0</v>
      </c>
      <c r="B94" s="5"/>
      <c r="C94" s="5"/>
      <c r="D94" s="5"/>
      <c r="E94" s="5"/>
      <c r="F94" s="5"/>
      <c r="G94" s="5"/>
      <c r="H94" s="5"/>
    </row>
    <row r="95" spans="1:8" x14ac:dyDescent="0.35">
      <c r="A95" s="3"/>
      <c r="B95" s="5"/>
      <c r="C95" s="5"/>
      <c r="D95" s="5"/>
      <c r="E95" s="5"/>
      <c r="F95" s="5"/>
      <c r="G95" s="5"/>
      <c r="H95" s="5"/>
    </row>
    <row r="96" spans="1:8" x14ac:dyDescent="0.35">
      <c r="A96" s="3"/>
      <c r="B96" s="5"/>
      <c r="C96" s="5"/>
      <c r="D96" s="5"/>
      <c r="E96" s="5"/>
      <c r="F96" s="5"/>
      <c r="G96" s="5"/>
      <c r="H96" s="5"/>
    </row>
    <row r="97" spans="1:8" x14ac:dyDescent="0.35">
      <c r="A97" s="3"/>
      <c r="B97" s="5"/>
      <c r="C97" s="5"/>
      <c r="D97" s="5"/>
      <c r="E97" s="5"/>
      <c r="F97" s="5"/>
      <c r="G97" s="5"/>
      <c r="H97" s="5"/>
    </row>
    <row r="98" spans="1:8" x14ac:dyDescent="0.35">
      <c r="A98" s="3">
        <f>A52</f>
        <v>0</v>
      </c>
      <c r="B98" s="5"/>
      <c r="C98" s="5"/>
      <c r="D98" s="5"/>
      <c r="E98" s="5"/>
      <c r="F98" s="5"/>
      <c r="G98" s="5"/>
      <c r="H98" s="5"/>
    </row>
    <row r="99" spans="1:8" x14ac:dyDescent="0.35">
      <c r="A99" s="3"/>
      <c r="B99" s="5"/>
      <c r="C99" s="5"/>
      <c r="D99" s="5"/>
      <c r="E99" s="5"/>
      <c r="F99" s="5"/>
      <c r="G99" s="5"/>
      <c r="H99" s="5"/>
    </row>
    <row r="100" spans="1:8" x14ac:dyDescent="0.35">
      <c r="A100" s="3"/>
      <c r="B100" s="5"/>
      <c r="C100" s="5"/>
      <c r="D100" s="5"/>
      <c r="E100" s="5"/>
      <c r="F100" s="5"/>
      <c r="G100" s="5"/>
      <c r="H100" s="5"/>
    </row>
    <row r="101" spans="1:8" x14ac:dyDescent="0.35">
      <c r="A101" s="3"/>
      <c r="B101" s="5"/>
      <c r="C101" s="5"/>
      <c r="D101" s="5"/>
      <c r="E101" s="5"/>
      <c r="F101" s="5"/>
      <c r="G101" s="5"/>
      <c r="H101" s="5"/>
    </row>
    <row r="102" spans="1:8" x14ac:dyDescent="0.35">
      <c r="A102" s="3" t="str">
        <f>A53</f>
        <v>Onion</v>
      </c>
      <c r="B102" s="5"/>
      <c r="C102" s="5"/>
      <c r="D102" s="5"/>
      <c r="E102" s="5"/>
      <c r="F102" s="5"/>
      <c r="G102" s="5"/>
      <c r="H102" s="5"/>
    </row>
    <row r="103" spans="1:8" x14ac:dyDescent="0.35">
      <c r="A103" s="3"/>
      <c r="B103" s="5"/>
      <c r="C103" s="5"/>
      <c r="D103" s="5"/>
      <c r="E103" s="5"/>
      <c r="F103" s="5"/>
      <c r="G103" s="5"/>
      <c r="H103" s="5"/>
    </row>
    <row r="104" spans="1:8" x14ac:dyDescent="0.35">
      <c r="A104" s="3"/>
      <c r="B104" s="5"/>
      <c r="C104" s="5"/>
      <c r="D104" s="5"/>
      <c r="E104" s="5"/>
      <c r="F104" s="5"/>
      <c r="G104" s="5"/>
      <c r="H104" s="5"/>
    </row>
    <row r="105" spans="1:8" x14ac:dyDescent="0.35">
      <c r="A105" s="3"/>
      <c r="B105" s="5"/>
      <c r="C105" s="5"/>
      <c r="D105" s="5"/>
      <c r="E105" s="5"/>
      <c r="F105" s="5"/>
      <c r="G105" s="5"/>
      <c r="H105" s="5"/>
    </row>
    <row r="106" spans="1:8" x14ac:dyDescent="0.35">
      <c r="A106" s="3" t="str">
        <f>A54</f>
        <v>Tomato</v>
      </c>
      <c r="B106" s="5"/>
      <c r="C106" s="5"/>
      <c r="D106" s="5"/>
      <c r="E106" s="5"/>
      <c r="F106" s="5"/>
      <c r="G106" s="5"/>
      <c r="H106" s="5"/>
    </row>
    <row r="107" spans="1:8" x14ac:dyDescent="0.35">
      <c r="A107" s="3"/>
      <c r="B107" s="5"/>
      <c r="C107" s="5"/>
      <c r="D107" s="5"/>
      <c r="E107" s="5"/>
      <c r="F107" s="5"/>
      <c r="G107" s="5"/>
      <c r="H107" s="5"/>
    </row>
    <row r="108" spans="1:8" x14ac:dyDescent="0.35">
      <c r="A108" s="3"/>
      <c r="B108" s="5"/>
      <c r="C108" s="5"/>
      <c r="D108" s="5"/>
      <c r="E108" s="5"/>
      <c r="F108" s="5"/>
      <c r="G108" s="5"/>
      <c r="H108" s="5"/>
    </row>
    <row r="109" spans="1:8" x14ac:dyDescent="0.35">
      <c r="A109" s="3"/>
      <c r="B109" s="5"/>
      <c r="C109" s="5"/>
      <c r="D109" s="5"/>
      <c r="E109" s="5"/>
      <c r="F109" s="5"/>
      <c r="G109" s="5"/>
      <c r="H109" s="5"/>
    </row>
    <row r="110" spans="1:8" x14ac:dyDescent="0.35">
      <c r="A110" s="3" t="str">
        <f>A55</f>
        <v>Okra</v>
      </c>
      <c r="B110" s="5"/>
      <c r="C110" s="5"/>
      <c r="D110" s="5"/>
      <c r="E110" s="5"/>
      <c r="F110" s="5"/>
      <c r="G110" s="5"/>
      <c r="H110" s="5"/>
    </row>
    <row r="111" spans="1:8" x14ac:dyDescent="0.35">
      <c r="A111" s="3"/>
      <c r="B111" s="5"/>
      <c r="C111" s="5"/>
      <c r="D111" s="5"/>
      <c r="E111" s="5"/>
      <c r="F111" s="5"/>
      <c r="G111" s="5"/>
      <c r="H111" s="5"/>
    </row>
    <row r="112" spans="1:8" x14ac:dyDescent="0.35">
      <c r="A112" s="3"/>
      <c r="B112" s="5"/>
      <c r="C112" s="5"/>
      <c r="D112" s="5"/>
      <c r="E112" s="5"/>
      <c r="F112" s="5"/>
      <c r="G112" s="5"/>
      <c r="H112" s="5"/>
    </row>
    <row r="113" spans="1:8" x14ac:dyDescent="0.35">
      <c r="A113" s="3"/>
      <c r="B113" s="5"/>
      <c r="C113" s="5"/>
      <c r="D113" s="5"/>
      <c r="E113" s="5"/>
      <c r="F113" s="5"/>
      <c r="G113" s="5"/>
      <c r="H113" s="5"/>
    </row>
    <row r="114" spans="1:8" x14ac:dyDescent="0.35">
      <c r="A114" s="3" t="str">
        <f>A56</f>
        <v>Chilli</v>
      </c>
      <c r="B114" s="5"/>
      <c r="C114" s="5"/>
      <c r="D114" s="5"/>
      <c r="E114" s="5"/>
      <c r="F114" s="5"/>
      <c r="G114" s="5"/>
      <c r="H114" s="5"/>
    </row>
    <row r="115" spans="1:8" x14ac:dyDescent="0.35">
      <c r="A115" s="3"/>
      <c r="B115" s="5"/>
      <c r="C115" s="5"/>
      <c r="D115" s="5"/>
      <c r="E115" s="5"/>
      <c r="F115" s="5"/>
      <c r="G115" s="5"/>
      <c r="H115" s="5"/>
    </row>
    <row r="116" spans="1:8" x14ac:dyDescent="0.35">
      <c r="A116" s="3"/>
      <c r="B116" s="5"/>
      <c r="C116" s="5"/>
      <c r="D116" s="5"/>
      <c r="E116" s="5"/>
      <c r="F116" s="5"/>
      <c r="G116" s="5"/>
      <c r="H116" s="5"/>
    </row>
    <row r="117" spans="1:8" x14ac:dyDescent="0.35">
      <c r="A117" s="3"/>
      <c r="B117" s="5"/>
      <c r="C117" s="5"/>
      <c r="D117" s="5"/>
      <c r="E117" s="5"/>
      <c r="F117" s="5"/>
      <c r="G117" s="5"/>
      <c r="H117" s="5"/>
    </row>
    <row r="118" spans="1:8" x14ac:dyDescent="0.35">
      <c r="A118" s="9" t="str">
        <f t="shared" ref="A118:A123" si="2">A57</f>
        <v>Potato</v>
      </c>
      <c r="B118" s="5"/>
      <c r="C118" s="5"/>
      <c r="D118" s="5"/>
      <c r="E118" s="5"/>
      <c r="F118" s="5"/>
      <c r="G118" s="5"/>
      <c r="H118" s="5"/>
    </row>
    <row r="119" spans="1:8" x14ac:dyDescent="0.35">
      <c r="A119" s="3" t="str">
        <f t="shared" si="2"/>
        <v>SWEET POTATO</v>
      </c>
      <c r="B119" s="5"/>
      <c r="C119" s="5"/>
      <c r="D119" s="5"/>
      <c r="E119" s="5"/>
      <c r="F119" s="5"/>
      <c r="G119" s="5"/>
      <c r="H119" s="5"/>
    </row>
    <row r="120" spans="1:8" x14ac:dyDescent="0.35">
      <c r="A120" s="3">
        <f t="shared" si="2"/>
        <v>0</v>
      </c>
      <c r="B120" s="5"/>
      <c r="C120" s="5"/>
      <c r="D120" s="5"/>
      <c r="E120" s="5"/>
      <c r="F120" s="5"/>
      <c r="G120" s="5"/>
      <c r="H120" s="5"/>
    </row>
    <row r="121" spans="1:8" x14ac:dyDescent="0.35">
      <c r="A121" s="3">
        <f t="shared" si="2"/>
        <v>0</v>
      </c>
      <c r="B121" s="5"/>
      <c r="C121" s="5"/>
      <c r="D121" s="5"/>
      <c r="E121" s="5"/>
      <c r="F121" s="5"/>
      <c r="G121" s="5"/>
      <c r="H121" s="5"/>
    </row>
    <row r="122" spans="1:8" x14ac:dyDescent="0.35">
      <c r="A122" s="3">
        <f t="shared" si="2"/>
        <v>0</v>
      </c>
      <c r="B122" s="5"/>
      <c r="C122" s="5"/>
      <c r="D122" s="5"/>
      <c r="E122" s="5"/>
      <c r="F122" s="5"/>
      <c r="G122" s="5"/>
      <c r="H122" s="5"/>
    </row>
    <row r="123" spans="1:8" x14ac:dyDescent="0.35">
      <c r="A123" s="9" t="str">
        <f t="shared" si="2"/>
        <v>Pomegranate</v>
      </c>
      <c r="B123" s="5"/>
      <c r="C123" s="5"/>
      <c r="D123" s="5"/>
      <c r="E123" s="5"/>
      <c r="F123" s="5"/>
      <c r="G123" s="5"/>
      <c r="H123" s="5"/>
    </row>
    <row r="124" spans="1:8" x14ac:dyDescent="0.35">
      <c r="A124" s="3" t="s">
        <v>505</v>
      </c>
      <c r="B124" s="5">
        <f>(B$62*50%)*0.7</f>
        <v>0</v>
      </c>
      <c r="C124" s="5">
        <f>(C$62*50%)*0.7</f>
        <v>0</v>
      </c>
      <c r="D124" s="5">
        <f t="shared" ref="D124:H126" si="3">(D$62*50%)*0.7</f>
        <v>0</v>
      </c>
      <c r="E124" s="5">
        <f t="shared" si="3"/>
        <v>0</v>
      </c>
      <c r="F124" s="5">
        <f t="shared" si="3"/>
        <v>0</v>
      </c>
      <c r="G124" s="5">
        <f t="shared" si="3"/>
        <v>0</v>
      </c>
      <c r="H124" s="5">
        <f t="shared" si="3"/>
        <v>0</v>
      </c>
    </row>
    <row r="125" spans="1:8" x14ac:dyDescent="0.35">
      <c r="A125" s="3" t="s">
        <v>503</v>
      </c>
      <c r="B125" s="5">
        <f>(B$62*50%)*0.7*2</f>
        <v>0</v>
      </c>
      <c r="C125" s="5">
        <f>(C$62*50%)*0.7</f>
        <v>0</v>
      </c>
      <c r="D125" s="5">
        <f t="shared" si="3"/>
        <v>0</v>
      </c>
      <c r="E125" s="5">
        <f t="shared" si="3"/>
        <v>0</v>
      </c>
      <c r="F125" s="5">
        <f t="shared" si="3"/>
        <v>0</v>
      </c>
      <c r="G125" s="5">
        <f t="shared" si="3"/>
        <v>0</v>
      </c>
      <c r="H125" s="5">
        <f t="shared" si="3"/>
        <v>0</v>
      </c>
    </row>
    <row r="126" spans="1:8" x14ac:dyDescent="0.35">
      <c r="A126" s="3" t="s">
        <v>504</v>
      </c>
      <c r="B126" s="5">
        <f>(B$62*0.3)*0.2</f>
        <v>0</v>
      </c>
      <c r="C126" s="5">
        <f>(C$62*50%)*0.7</f>
        <v>0</v>
      </c>
      <c r="D126" s="5">
        <f t="shared" si="3"/>
        <v>0</v>
      </c>
      <c r="E126" s="5">
        <f t="shared" si="3"/>
        <v>0</v>
      </c>
      <c r="F126" s="5">
        <f t="shared" si="3"/>
        <v>0</v>
      </c>
      <c r="G126" s="5">
        <f t="shared" si="3"/>
        <v>0</v>
      </c>
      <c r="H126" s="5">
        <f t="shared" si="3"/>
        <v>0</v>
      </c>
    </row>
    <row r="127" spans="1:8" x14ac:dyDescent="0.35">
      <c r="A127" s="3" t="str">
        <f t="shared" ref="A127" si="4">A63</f>
        <v>Custard Apple</v>
      </c>
      <c r="B127" s="5"/>
      <c r="C127" s="5"/>
      <c r="D127" s="5"/>
      <c r="E127" s="5"/>
      <c r="F127" s="5"/>
      <c r="G127" s="5"/>
      <c r="H127" s="5"/>
    </row>
    <row r="128" spans="1:8" x14ac:dyDescent="0.35">
      <c r="A128" s="3"/>
      <c r="B128" s="5"/>
      <c r="C128" s="5"/>
      <c r="D128" s="5"/>
      <c r="E128" s="5"/>
      <c r="F128" s="5"/>
      <c r="G128" s="5"/>
      <c r="H128" s="5"/>
    </row>
    <row r="129" spans="1:8" x14ac:dyDescent="0.35">
      <c r="A129" s="3"/>
      <c r="B129" s="5"/>
      <c r="C129" s="5"/>
      <c r="D129" s="5"/>
      <c r="E129" s="5"/>
      <c r="F129" s="5"/>
      <c r="G129" s="5"/>
      <c r="H129" s="5"/>
    </row>
    <row r="130" spans="1:8" x14ac:dyDescent="0.35">
      <c r="A130" s="3"/>
      <c r="B130" s="5"/>
      <c r="C130" s="5"/>
      <c r="D130" s="5"/>
      <c r="E130" s="5"/>
      <c r="F130" s="5"/>
      <c r="G130" s="5"/>
      <c r="H130" s="5"/>
    </row>
    <row r="131" spans="1:8" x14ac:dyDescent="0.35">
      <c r="A131" s="3" t="str">
        <f>A64</f>
        <v>Guava</v>
      </c>
      <c r="B131" s="5"/>
      <c r="C131" s="5"/>
      <c r="D131" s="5"/>
      <c r="E131" s="5"/>
      <c r="F131" s="5"/>
      <c r="G131" s="5"/>
      <c r="H131" s="5"/>
    </row>
    <row r="132" spans="1:8" x14ac:dyDescent="0.35">
      <c r="A132" s="3"/>
      <c r="B132" s="5"/>
      <c r="C132" s="5"/>
      <c r="D132" s="5"/>
      <c r="E132" s="5"/>
      <c r="F132" s="5"/>
      <c r="G132" s="5"/>
      <c r="H132" s="5"/>
    </row>
    <row r="133" spans="1:8" x14ac:dyDescent="0.35">
      <c r="A133" s="3"/>
      <c r="B133" s="5"/>
      <c r="C133" s="5"/>
      <c r="D133" s="5"/>
      <c r="E133" s="5"/>
      <c r="F133" s="5"/>
      <c r="G133" s="5"/>
      <c r="H133" s="5"/>
    </row>
    <row r="134" spans="1:8" x14ac:dyDescent="0.35">
      <c r="A134" s="3"/>
      <c r="B134" s="5"/>
      <c r="C134" s="5"/>
      <c r="D134" s="5"/>
      <c r="E134" s="5"/>
      <c r="F134" s="5"/>
      <c r="G134" s="5"/>
      <c r="H134" s="5"/>
    </row>
    <row r="135" spans="1:8" x14ac:dyDescent="0.35">
      <c r="A135" s="3" t="str">
        <f>A65</f>
        <v>CASHEW</v>
      </c>
      <c r="B135" s="5"/>
      <c r="C135" s="5"/>
      <c r="D135" s="5"/>
      <c r="E135" s="5"/>
      <c r="F135" s="5"/>
      <c r="G135" s="5"/>
      <c r="H135" s="5"/>
    </row>
    <row r="136" spans="1:8" x14ac:dyDescent="0.35">
      <c r="A136" s="3"/>
      <c r="B136" s="5"/>
      <c r="C136" s="5"/>
      <c r="D136" s="5"/>
      <c r="E136" s="5"/>
      <c r="F136" s="5"/>
      <c r="G136" s="5"/>
      <c r="H136" s="5"/>
    </row>
    <row r="137" spans="1:8" x14ac:dyDescent="0.35">
      <c r="A137" s="3"/>
      <c r="B137" s="5"/>
      <c r="C137" s="5"/>
      <c r="D137" s="5"/>
      <c r="E137" s="5"/>
      <c r="F137" s="5"/>
      <c r="G137" s="5"/>
      <c r="H137" s="5"/>
    </row>
    <row r="138" spans="1:8" x14ac:dyDescent="0.35">
      <c r="A138" s="3"/>
      <c r="B138" s="5"/>
      <c r="C138" s="5"/>
      <c r="D138" s="5"/>
      <c r="E138" s="5"/>
      <c r="F138" s="5"/>
      <c r="G138" s="5"/>
      <c r="H138" s="5"/>
    </row>
    <row r="139" spans="1:8" x14ac:dyDescent="0.35">
      <c r="A139" s="4"/>
      <c r="B139" s="22"/>
      <c r="C139" s="22"/>
      <c r="D139" s="22"/>
      <c r="E139" s="22"/>
      <c r="F139" s="22"/>
      <c r="G139" s="22"/>
      <c r="H139" s="22"/>
    </row>
    <row r="140" spans="1:8" x14ac:dyDescent="0.35">
      <c r="A140" s="23" t="s">
        <v>437</v>
      </c>
    </row>
    <row r="141" spans="1:8" x14ac:dyDescent="0.35">
      <c r="A141" s="1" t="s">
        <v>508</v>
      </c>
      <c r="B141" s="24">
        <f t="shared" ref="B141:C143" si="5">(B124*100)</f>
        <v>0</v>
      </c>
      <c r="C141" s="24">
        <f t="shared" si="5"/>
        <v>0</v>
      </c>
      <c r="D141" s="24">
        <f t="shared" ref="D141:H141" si="6">(D124*100)</f>
        <v>0</v>
      </c>
      <c r="E141" s="24">
        <f t="shared" si="6"/>
        <v>0</v>
      </c>
      <c r="F141" s="24">
        <f t="shared" si="6"/>
        <v>0</v>
      </c>
      <c r="G141" s="24">
        <f t="shared" si="6"/>
        <v>0</v>
      </c>
      <c r="H141" s="24">
        <f t="shared" si="6"/>
        <v>0</v>
      </c>
    </row>
    <row r="142" spans="1:8" x14ac:dyDescent="0.35">
      <c r="A142" s="1" t="s">
        <v>509</v>
      </c>
      <c r="B142" s="24">
        <f t="shared" si="5"/>
        <v>0</v>
      </c>
      <c r="C142" s="24">
        <f t="shared" si="5"/>
        <v>0</v>
      </c>
      <c r="D142" s="24">
        <f t="shared" ref="D142:H142" si="7">(D125*100)</f>
        <v>0</v>
      </c>
      <c r="E142" s="24">
        <f t="shared" si="7"/>
        <v>0</v>
      </c>
      <c r="F142" s="24">
        <f t="shared" si="7"/>
        <v>0</v>
      </c>
      <c r="G142" s="24">
        <f t="shared" si="7"/>
        <v>0</v>
      </c>
      <c r="H142" s="24">
        <f t="shared" si="7"/>
        <v>0</v>
      </c>
    </row>
    <row r="143" spans="1:8" x14ac:dyDescent="0.35">
      <c r="A143" s="1" t="s">
        <v>510</v>
      </c>
      <c r="B143" s="24">
        <f t="shared" si="5"/>
        <v>0</v>
      </c>
      <c r="C143" s="24">
        <f t="shared" si="5"/>
        <v>0</v>
      </c>
      <c r="D143" s="24">
        <f t="shared" ref="D143:H143" si="8">(D126*100)</f>
        <v>0</v>
      </c>
      <c r="E143" s="24">
        <f t="shared" si="8"/>
        <v>0</v>
      </c>
      <c r="F143" s="24">
        <f t="shared" si="8"/>
        <v>0</v>
      </c>
      <c r="G143" s="24">
        <f t="shared" si="8"/>
        <v>0</v>
      </c>
      <c r="H143" s="24">
        <f t="shared" si="8"/>
        <v>0</v>
      </c>
    </row>
    <row r="145" spans="1:10" x14ac:dyDescent="0.35">
      <c r="B145" s="24"/>
      <c r="C145" s="24"/>
    </row>
    <row r="146" spans="1:10" x14ac:dyDescent="0.35">
      <c r="B146" s="24"/>
      <c r="C146" s="24"/>
      <c r="D146" s="24"/>
    </row>
    <row r="147" spans="1:10" x14ac:dyDescent="0.35">
      <c r="A147" s="625" t="s">
        <v>578</v>
      </c>
      <c r="B147" s="625"/>
      <c r="C147" s="625"/>
      <c r="D147" s="625"/>
      <c r="E147" s="625"/>
      <c r="F147" s="625"/>
      <c r="G147" s="625"/>
      <c r="H147" s="625"/>
      <c r="I147" s="625"/>
      <c r="J147" s="625"/>
    </row>
    <row r="148" spans="1:10" x14ac:dyDescent="0.35">
      <c r="A148" s="25"/>
      <c r="B148" s="25"/>
      <c r="C148" s="25"/>
      <c r="D148" s="25"/>
      <c r="E148" s="25"/>
      <c r="F148" s="25"/>
      <c r="G148" s="25"/>
      <c r="H148" s="25"/>
    </row>
    <row r="149" spans="1:10" x14ac:dyDescent="0.35">
      <c r="A149" s="25"/>
      <c r="B149" s="25"/>
      <c r="C149" s="25"/>
      <c r="D149" s="26">
        <v>1</v>
      </c>
      <c r="E149" s="27">
        <f>(D149*5%)+D149</f>
        <v>1.05</v>
      </c>
      <c r="F149" s="27">
        <f t="shared" ref="F149:J149" si="9">(E149*5%)+E149</f>
        <v>1.1025</v>
      </c>
      <c r="G149" s="27">
        <f t="shared" si="9"/>
        <v>1.1576250000000001</v>
      </c>
      <c r="H149" s="27">
        <f t="shared" si="9"/>
        <v>1.2155062500000002</v>
      </c>
      <c r="I149" s="27">
        <f t="shared" si="9"/>
        <v>1.2762815625000004</v>
      </c>
      <c r="J149" s="27">
        <f t="shared" si="9"/>
        <v>1.3400956406250004</v>
      </c>
    </row>
    <row r="151" spans="1:10" x14ac:dyDescent="0.35">
      <c r="A151" s="28" t="s">
        <v>0</v>
      </c>
      <c r="B151" s="28" t="s">
        <v>130</v>
      </c>
      <c r="C151" s="28" t="s">
        <v>149</v>
      </c>
      <c r="D151" s="29" t="s">
        <v>2</v>
      </c>
      <c r="E151" s="29" t="s">
        <v>3</v>
      </c>
      <c r="F151" s="29" t="s">
        <v>4</v>
      </c>
      <c r="G151" s="29" t="s">
        <v>5</v>
      </c>
      <c r="H151" s="29" t="s">
        <v>6</v>
      </c>
      <c r="I151" s="29" t="s">
        <v>165</v>
      </c>
      <c r="J151" s="29" t="s">
        <v>164</v>
      </c>
    </row>
    <row r="152" spans="1:10" x14ac:dyDescent="0.35">
      <c r="A152" s="3"/>
      <c r="B152" s="3"/>
      <c r="C152" s="3"/>
      <c r="D152" s="3"/>
      <c r="E152" s="3"/>
      <c r="F152" s="3"/>
      <c r="G152" s="3"/>
      <c r="H152" s="3"/>
      <c r="I152" s="3"/>
      <c r="J152" s="3"/>
    </row>
    <row r="153" spans="1:10" x14ac:dyDescent="0.35">
      <c r="A153" s="9" t="s">
        <v>126</v>
      </c>
      <c r="B153" s="9"/>
      <c r="C153" s="9"/>
      <c r="D153" s="30"/>
      <c r="E153" s="30"/>
      <c r="F153" s="30"/>
      <c r="G153" s="30"/>
      <c r="H153" s="30"/>
      <c r="I153" s="3"/>
      <c r="J153" s="3"/>
    </row>
    <row r="154" spans="1:10" x14ac:dyDescent="0.35">
      <c r="A154" s="3" t="str">
        <f>A124</f>
        <v>Pomegranate Arils</v>
      </c>
      <c r="B154" s="31" t="s">
        <v>507</v>
      </c>
      <c r="C154" s="31">
        <v>150</v>
      </c>
      <c r="D154" s="5">
        <f>(B141*(1-'Stock WC'!$D$18)*$C154*D$149)</f>
        <v>0</v>
      </c>
      <c r="E154" s="5">
        <f>(((C141*(1-'Stock WC'!$D$18))+(B141*'Stock WC'!$D$18))*$C154*E$149)</f>
        <v>0</v>
      </c>
      <c r="F154" s="5">
        <f>(((D141*(1-'Stock WC'!$D$18))+(C141*'Stock WC'!$D$18))*$C154*F$149)</f>
        <v>0</v>
      </c>
      <c r="G154" s="5">
        <f>(((E141*(1-'Stock WC'!$D$18))+(D141*'Stock WC'!$D$18))*$C154*G$149)</f>
        <v>0</v>
      </c>
      <c r="H154" s="5">
        <f>(((F141*(1-'Stock WC'!$D$18))+(E141*'Stock WC'!$D$18))*$C154*H$149)</f>
        <v>0</v>
      </c>
      <c r="I154" s="5">
        <f>(((G141*(1-'Stock WC'!$D$18))+(F141*'Stock WC'!$D$18))*$C154*I$149)</f>
        <v>0</v>
      </c>
      <c r="J154" s="5">
        <f>(((H141*(1-'Stock WC'!$D$18))+(G141*'Stock WC'!$D$18))*$C154*J$149)</f>
        <v>0</v>
      </c>
    </row>
    <row r="155" spans="1:10" x14ac:dyDescent="0.35">
      <c r="A155" s="3" t="str">
        <f>A125</f>
        <v>Pomegranate Juice</v>
      </c>
      <c r="B155" s="31" t="s">
        <v>506</v>
      </c>
      <c r="C155" s="31">
        <v>40</v>
      </c>
      <c r="D155" s="5">
        <f>(B142*(1-'Stock WC'!$D$18)*$C155*D$149)</f>
        <v>0</v>
      </c>
      <c r="E155" s="5">
        <f>(((C142*(1-'Stock WC'!$D$18))+(B142*'Stock WC'!$D$18))*$C155*E$149)</f>
        <v>0</v>
      </c>
      <c r="F155" s="5">
        <f>(((D142*(1-'Stock WC'!$D$18))+(C142*'Stock WC'!$D$18))*$C155*F$149)</f>
        <v>0</v>
      </c>
      <c r="G155" s="5">
        <f>(((E142*(1-'Stock WC'!$D$18))+(D142*'Stock WC'!$D$18))*$C155*G$149)</f>
        <v>0</v>
      </c>
      <c r="H155" s="5">
        <f>(((F142*(1-'Stock WC'!$D$18))+(E142*'Stock WC'!$D$18))*$C155*H$149)</f>
        <v>0</v>
      </c>
      <c r="I155" s="5">
        <f>(((G142*(1-'Stock WC'!$D$18))+(F142*'Stock WC'!$D$18))*$C155*I$149)</f>
        <v>0</v>
      </c>
      <c r="J155" s="5">
        <f>(((H142*(1-'Stock WC'!$D$18))+(G142*'Stock WC'!$D$18))*$C155*J$149)</f>
        <v>0</v>
      </c>
    </row>
    <row r="156" spans="1:10" x14ac:dyDescent="0.35">
      <c r="A156" s="3" t="str">
        <f>A126</f>
        <v>Pomegranate Powder</v>
      </c>
      <c r="B156" s="31" t="s">
        <v>354</v>
      </c>
      <c r="C156" s="31">
        <v>50</v>
      </c>
      <c r="D156" s="5">
        <f>(B143*(1-'Stock WC'!$D$18)*$C156*D$149)</f>
        <v>0</v>
      </c>
      <c r="E156" s="5">
        <f>(((C143*(1-'Stock WC'!$D$18))+(B143*'Stock WC'!$D$18))*$C156*E$149)</f>
        <v>0</v>
      </c>
      <c r="F156" s="5">
        <f>(((D143*(1-'Stock WC'!$D$18))+(C143*'Stock WC'!$D$18))*$C156*F$149)</f>
        <v>0</v>
      </c>
      <c r="G156" s="5">
        <f>(((E143*(1-'Stock WC'!$D$18))+(D143*'Stock WC'!$D$18))*$C156*G$149)</f>
        <v>0</v>
      </c>
      <c r="H156" s="5">
        <f>(((F143*(1-'Stock WC'!$D$18))+(E143*'Stock WC'!$D$18))*$C156*H$149)</f>
        <v>0</v>
      </c>
      <c r="I156" s="5">
        <f>(((G143*(1-'Stock WC'!$D$18))+(F143*'Stock WC'!$D$18))*$C156*I$149)</f>
        <v>0</v>
      </c>
      <c r="J156" s="5">
        <f>(((H143*(1-'Stock WC'!$D$18))+(G143*'Stock WC'!$D$18))*$C156*J$149)</f>
        <v>0</v>
      </c>
    </row>
    <row r="157" spans="1:10" x14ac:dyDescent="0.35">
      <c r="A157" s="3"/>
      <c r="B157" s="31"/>
      <c r="C157" s="31"/>
      <c r="D157" s="5"/>
      <c r="E157" s="5"/>
      <c r="F157" s="5"/>
      <c r="G157" s="5"/>
      <c r="H157" s="5"/>
      <c r="I157" s="5"/>
      <c r="J157" s="5"/>
    </row>
    <row r="158" spans="1:10" x14ac:dyDescent="0.35">
      <c r="A158" s="3"/>
      <c r="B158" s="3"/>
      <c r="C158" s="3"/>
      <c r="D158" s="5"/>
      <c r="E158" s="5"/>
      <c r="F158" s="5"/>
      <c r="G158" s="5"/>
      <c r="H158" s="5"/>
      <c r="I158" s="5"/>
      <c r="J158" s="5"/>
    </row>
    <row r="159" spans="1:10" x14ac:dyDescent="0.35">
      <c r="A159" s="9" t="s">
        <v>126</v>
      </c>
      <c r="B159" s="9"/>
      <c r="C159" s="9"/>
      <c r="D159" s="20">
        <f t="shared" ref="D159:J159" si="10">SUM(D154:D157)</f>
        <v>0</v>
      </c>
      <c r="E159" s="20">
        <f t="shared" si="10"/>
        <v>0</v>
      </c>
      <c r="F159" s="20">
        <f t="shared" si="10"/>
        <v>0</v>
      </c>
      <c r="G159" s="20">
        <f t="shared" si="10"/>
        <v>0</v>
      </c>
      <c r="H159" s="20">
        <f t="shared" si="10"/>
        <v>0</v>
      </c>
      <c r="I159" s="20">
        <f t="shared" si="10"/>
        <v>0</v>
      </c>
      <c r="J159" s="20">
        <f t="shared" si="10"/>
        <v>0</v>
      </c>
    </row>
    <row r="160" spans="1:10" x14ac:dyDescent="0.35">
      <c r="A160" s="3"/>
      <c r="B160" s="3"/>
      <c r="C160" s="3"/>
      <c r="D160" s="5"/>
      <c r="E160" s="5"/>
      <c r="F160" s="5"/>
      <c r="G160" s="5"/>
      <c r="H160" s="5"/>
      <c r="I160" s="5"/>
      <c r="J160" s="5"/>
    </row>
    <row r="161" spans="1:10" x14ac:dyDescent="0.35">
      <c r="A161" s="9" t="s">
        <v>138</v>
      </c>
      <c r="B161" s="9"/>
      <c r="C161" s="9"/>
      <c r="D161" s="5"/>
      <c r="E161" s="5"/>
      <c r="F161" s="5"/>
      <c r="G161" s="5"/>
      <c r="H161" s="5"/>
      <c r="I161" s="5"/>
      <c r="J161" s="5"/>
    </row>
    <row r="162" spans="1:10" x14ac:dyDescent="0.35">
      <c r="A162" s="9" t="s">
        <v>307</v>
      </c>
      <c r="B162" s="9"/>
      <c r="C162" s="3"/>
      <c r="D162" s="5"/>
      <c r="E162" s="5"/>
      <c r="F162" s="5"/>
      <c r="G162" s="5"/>
      <c r="H162" s="5"/>
      <c r="I162" s="5"/>
      <c r="J162" s="5"/>
    </row>
    <row r="163" spans="1:10" x14ac:dyDescent="0.35">
      <c r="A163" s="17" t="s">
        <v>511</v>
      </c>
      <c r="B163" s="31" t="s">
        <v>355</v>
      </c>
      <c r="C163" s="32">
        <v>6000</v>
      </c>
      <c r="D163" s="5">
        <f>B62*$C163*D$149</f>
        <v>0</v>
      </c>
      <c r="E163" s="5">
        <f>C62*$C163*E$149</f>
        <v>0</v>
      </c>
      <c r="F163" s="5">
        <f t="shared" ref="F163:J163" si="11">D62*$C163*F$149</f>
        <v>0</v>
      </c>
      <c r="G163" s="5">
        <f t="shared" si="11"/>
        <v>0</v>
      </c>
      <c r="H163" s="5">
        <f t="shared" si="11"/>
        <v>0</v>
      </c>
      <c r="I163" s="5">
        <f t="shared" si="11"/>
        <v>0</v>
      </c>
      <c r="J163" s="5">
        <f t="shared" si="11"/>
        <v>0</v>
      </c>
    </row>
    <row r="164" spans="1:10" x14ac:dyDescent="0.35">
      <c r="A164" s="3" t="s">
        <v>512</v>
      </c>
      <c r="B164" s="31" t="s">
        <v>355</v>
      </c>
      <c r="C164" s="31">
        <v>2000</v>
      </c>
      <c r="D164" s="5">
        <f>(B62*10%)*$C164*D$149</f>
        <v>0</v>
      </c>
      <c r="E164" s="5">
        <f t="shared" ref="E164:J164" si="12">(C62*10%)*$C164*E$149</f>
        <v>0</v>
      </c>
      <c r="F164" s="5">
        <f t="shared" si="12"/>
        <v>0</v>
      </c>
      <c r="G164" s="5">
        <f t="shared" si="12"/>
        <v>0</v>
      </c>
      <c r="H164" s="5">
        <f t="shared" si="12"/>
        <v>0</v>
      </c>
      <c r="I164" s="5">
        <f t="shared" si="12"/>
        <v>0</v>
      </c>
      <c r="J164" s="5">
        <f t="shared" si="12"/>
        <v>0</v>
      </c>
    </row>
    <row r="165" spans="1:10" x14ac:dyDescent="0.35">
      <c r="A165" s="3" t="s">
        <v>316</v>
      </c>
      <c r="B165" s="31">
        <v>5</v>
      </c>
      <c r="C165" s="31">
        <v>300</v>
      </c>
      <c r="D165" s="5">
        <f t="shared" ref="D165:J165" si="13">B12*$B$165*$C$165*D149</f>
        <v>0</v>
      </c>
      <c r="E165" s="5">
        <f t="shared" si="13"/>
        <v>0</v>
      </c>
      <c r="F165" s="5">
        <f t="shared" si="13"/>
        <v>0</v>
      </c>
      <c r="G165" s="5">
        <f t="shared" si="13"/>
        <v>0</v>
      </c>
      <c r="H165" s="5">
        <f t="shared" si="13"/>
        <v>0</v>
      </c>
      <c r="I165" s="5">
        <f t="shared" si="13"/>
        <v>0</v>
      </c>
      <c r="J165" s="5">
        <f t="shared" si="13"/>
        <v>0</v>
      </c>
    </row>
    <row r="166" spans="1:10" x14ac:dyDescent="0.35">
      <c r="A166" s="3" t="s">
        <v>140</v>
      </c>
      <c r="B166" s="3">
        <f>Capex!H64*0.746*8</f>
        <v>0</v>
      </c>
      <c r="C166" s="31">
        <v>8</v>
      </c>
      <c r="D166" s="5">
        <f t="shared" ref="D166:J166" si="14">$B$166*$C$166*B12*D149</f>
        <v>0</v>
      </c>
      <c r="E166" s="5">
        <f t="shared" si="14"/>
        <v>0</v>
      </c>
      <c r="F166" s="5">
        <f t="shared" si="14"/>
        <v>0</v>
      </c>
      <c r="G166" s="5">
        <f t="shared" si="14"/>
        <v>0</v>
      </c>
      <c r="H166" s="5">
        <f t="shared" si="14"/>
        <v>0</v>
      </c>
      <c r="I166" s="5">
        <f t="shared" si="14"/>
        <v>0</v>
      </c>
      <c r="J166" s="5">
        <f t="shared" si="14"/>
        <v>0</v>
      </c>
    </row>
    <row r="167" spans="1:10" x14ac:dyDescent="0.35">
      <c r="A167" s="3" t="s">
        <v>290</v>
      </c>
      <c r="B167" s="3" t="s">
        <v>355</v>
      </c>
      <c r="C167" s="31">
        <v>10</v>
      </c>
      <c r="D167" s="5">
        <f>B62*$C167*D$149</f>
        <v>0</v>
      </c>
      <c r="E167" s="5">
        <f t="shared" ref="E167:J167" si="15">C62*$C167*E$149</f>
        <v>0</v>
      </c>
      <c r="F167" s="5">
        <f t="shared" si="15"/>
        <v>0</v>
      </c>
      <c r="G167" s="5">
        <f t="shared" si="15"/>
        <v>0</v>
      </c>
      <c r="H167" s="5">
        <f t="shared" si="15"/>
        <v>0</v>
      </c>
      <c r="I167" s="5">
        <f t="shared" si="15"/>
        <v>0</v>
      </c>
      <c r="J167" s="5">
        <f t="shared" si="15"/>
        <v>0</v>
      </c>
    </row>
    <row r="168" spans="1:10" x14ac:dyDescent="0.35">
      <c r="A168" s="33" t="s">
        <v>291</v>
      </c>
      <c r="B168" s="33"/>
      <c r="C168" s="34">
        <v>2</v>
      </c>
      <c r="D168" s="5">
        <f>SUM(B141:B143)*$C$168*D$149</f>
        <v>0</v>
      </c>
      <c r="E168" s="5">
        <f t="shared" ref="E168:J168" si="16">SUM(C141:C143)*$C$168*E$149</f>
        <v>0</v>
      </c>
      <c r="F168" s="5">
        <f t="shared" si="16"/>
        <v>0</v>
      </c>
      <c r="G168" s="5">
        <f t="shared" si="16"/>
        <v>0</v>
      </c>
      <c r="H168" s="5">
        <f t="shared" si="16"/>
        <v>0</v>
      </c>
      <c r="I168" s="5">
        <f t="shared" si="16"/>
        <v>0</v>
      </c>
      <c r="J168" s="5">
        <f t="shared" si="16"/>
        <v>0</v>
      </c>
    </row>
    <row r="169" spans="1:10" x14ac:dyDescent="0.35">
      <c r="A169" s="3" t="s">
        <v>292</v>
      </c>
      <c r="B169" s="3"/>
      <c r="C169" s="31">
        <v>1</v>
      </c>
      <c r="D169" s="5">
        <f>SUM(B141:B143)*$C$169*D$149</f>
        <v>0</v>
      </c>
      <c r="E169" s="5">
        <f t="shared" ref="E169:J169" si="17">SUM(C141:C143)*$C$169*E$149</f>
        <v>0</v>
      </c>
      <c r="F169" s="5">
        <f t="shared" si="17"/>
        <v>0</v>
      </c>
      <c r="G169" s="5">
        <f t="shared" si="17"/>
        <v>0</v>
      </c>
      <c r="H169" s="5">
        <f t="shared" si="17"/>
        <v>0</v>
      </c>
      <c r="I169" s="5">
        <f t="shared" si="17"/>
        <v>0</v>
      </c>
      <c r="J169" s="5">
        <f t="shared" si="17"/>
        <v>0</v>
      </c>
    </row>
    <row r="170" spans="1:10" x14ac:dyDescent="0.35">
      <c r="A170" s="3"/>
      <c r="B170" s="3"/>
      <c r="C170" s="3"/>
      <c r="D170" s="3"/>
      <c r="E170" s="3"/>
      <c r="F170" s="3"/>
      <c r="G170" s="3"/>
      <c r="H170" s="3"/>
      <c r="I170" s="3"/>
      <c r="J170" s="3"/>
    </row>
    <row r="171" spans="1:10" x14ac:dyDescent="0.35">
      <c r="A171" s="3"/>
      <c r="B171" s="3"/>
      <c r="C171" s="3"/>
      <c r="D171" s="3"/>
      <c r="E171" s="3"/>
      <c r="F171" s="3"/>
      <c r="G171" s="3"/>
      <c r="H171" s="3"/>
      <c r="I171" s="3"/>
      <c r="J171" s="3"/>
    </row>
    <row r="172" spans="1:10" x14ac:dyDescent="0.35">
      <c r="A172" s="3"/>
      <c r="B172" s="3"/>
      <c r="C172" s="3"/>
      <c r="D172" s="3"/>
      <c r="E172" s="3"/>
      <c r="F172" s="3"/>
      <c r="G172" s="3"/>
      <c r="H172" s="3"/>
      <c r="I172" s="3"/>
      <c r="J172" s="3"/>
    </row>
    <row r="173" spans="1:10" x14ac:dyDescent="0.35">
      <c r="A173" s="3"/>
      <c r="B173" s="3"/>
      <c r="C173" s="3"/>
      <c r="D173" s="3"/>
      <c r="E173" s="3"/>
      <c r="F173" s="3"/>
      <c r="G173" s="3"/>
      <c r="H173" s="3"/>
      <c r="I173" s="3"/>
      <c r="J173" s="3"/>
    </row>
    <row r="174" spans="1:10" x14ac:dyDescent="0.35">
      <c r="A174" s="35" t="s">
        <v>338</v>
      </c>
      <c r="B174" s="5"/>
      <c r="C174" s="5"/>
      <c r="D174" s="5"/>
      <c r="E174" s="5"/>
      <c r="F174" s="5"/>
      <c r="G174" s="5"/>
      <c r="H174" s="5"/>
      <c r="I174" s="5"/>
      <c r="J174" s="5"/>
    </row>
    <row r="175" spans="1:10" x14ac:dyDescent="0.35">
      <c r="A175" s="35" t="s">
        <v>339</v>
      </c>
      <c r="B175" s="5"/>
      <c r="C175" s="5"/>
      <c r="D175" s="5"/>
      <c r="E175" s="5"/>
      <c r="F175" s="5"/>
      <c r="G175" s="5"/>
      <c r="H175" s="5"/>
      <c r="I175" s="5"/>
      <c r="J175" s="5"/>
    </row>
    <row r="176" spans="1:10" x14ac:dyDescent="0.35">
      <c r="A176" s="5"/>
      <c r="B176" s="5"/>
      <c r="C176" s="5"/>
      <c r="D176" s="5"/>
      <c r="E176" s="5"/>
      <c r="F176" s="5"/>
      <c r="G176" s="5"/>
      <c r="H176" s="5"/>
      <c r="I176" s="5"/>
      <c r="J176" s="5"/>
    </row>
    <row r="177" spans="1:10" x14ac:dyDescent="0.35">
      <c r="A177" s="20" t="s">
        <v>317</v>
      </c>
      <c r="B177" s="5"/>
      <c r="C177" s="5"/>
      <c r="D177" s="20">
        <f t="shared" ref="D177:J177" si="18">SUM(D163:D174)-D175</f>
        <v>0</v>
      </c>
      <c r="E177" s="20">
        <f t="shared" si="18"/>
        <v>0</v>
      </c>
      <c r="F177" s="20">
        <f t="shared" si="18"/>
        <v>0</v>
      </c>
      <c r="G177" s="20">
        <f t="shared" si="18"/>
        <v>0</v>
      </c>
      <c r="H177" s="20">
        <f t="shared" si="18"/>
        <v>0</v>
      </c>
      <c r="I177" s="20">
        <f t="shared" si="18"/>
        <v>0</v>
      </c>
      <c r="J177" s="20">
        <f t="shared" si="18"/>
        <v>0</v>
      </c>
    </row>
    <row r="179" spans="1:10" x14ac:dyDescent="0.35">
      <c r="A179" s="36" t="s">
        <v>305</v>
      </c>
      <c r="B179" s="36"/>
      <c r="C179" s="36"/>
      <c r="D179" s="20"/>
      <c r="E179" s="20"/>
      <c r="F179" s="20"/>
      <c r="G179" s="20"/>
      <c r="H179" s="20"/>
      <c r="I179" s="20"/>
      <c r="J179" s="20"/>
    </row>
    <row r="180" spans="1:10" x14ac:dyDescent="0.35">
      <c r="A180" s="3" t="s">
        <v>184</v>
      </c>
      <c r="B180" s="31">
        <v>1</v>
      </c>
      <c r="C180" s="32"/>
      <c r="D180" s="5">
        <f t="shared" ref="D180:J180" si="19">$B$180*$C$180*12*D149</f>
        <v>0</v>
      </c>
      <c r="E180" s="5">
        <f t="shared" si="19"/>
        <v>0</v>
      </c>
      <c r="F180" s="5">
        <f t="shared" si="19"/>
        <v>0</v>
      </c>
      <c r="G180" s="5">
        <f t="shared" si="19"/>
        <v>0</v>
      </c>
      <c r="H180" s="5">
        <f t="shared" si="19"/>
        <v>0</v>
      </c>
      <c r="I180" s="5">
        <f t="shared" si="19"/>
        <v>0</v>
      </c>
      <c r="J180" s="5">
        <f t="shared" si="19"/>
        <v>0</v>
      </c>
    </row>
    <row r="181" spans="1:10" x14ac:dyDescent="0.35">
      <c r="A181" s="3" t="s">
        <v>188</v>
      </c>
      <c r="B181" s="31">
        <v>2</v>
      </c>
      <c r="C181" s="32"/>
      <c r="D181" s="5">
        <f t="shared" ref="D181:J181" si="20">$B$181*$C$181*12*D149</f>
        <v>0</v>
      </c>
      <c r="E181" s="5">
        <f t="shared" si="20"/>
        <v>0</v>
      </c>
      <c r="F181" s="5">
        <f t="shared" si="20"/>
        <v>0</v>
      </c>
      <c r="G181" s="5">
        <f t="shared" si="20"/>
        <v>0</v>
      </c>
      <c r="H181" s="5">
        <f t="shared" si="20"/>
        <v>0</v>
      </c>
      <c r="I181" s="5">
        <f t="shared" si="20"/>
        <v>0</v>
      </c>
      <c r="J181" s="5">
        <f t="shared" si="20"/>
        <v>0</v>
      </c>
    </row>
    <row r="182" spans="1:10" x14ac:dyDescent="0.35">
      <c r="A182" s="3"/>
      <c r="B182" s="31"/>
      <c r="C182" s="32"/>
      <c r="D182" s="5"/>
      <c r="E182" s="5"/>
      <c r="F182" s="5"/>
      <c r="G182" s="5"/>
      <c r="H182" s="5"/>
      <c r="I182" s="5"/>
      <c r="J182" s="5"/>
    </row>
    <row r="183" spans="1:10" x14ac:dyDescent="0.35">
      <c r="A183" s="3"/>
      <c r="B183" s="31"/>
      <c r="C183" s="32"/>
      <c r="D183" s="5"/>
      <c r="E183" s="5"/>
      <c r="F183" s="5"/>
      <c r="G183" s="5"/>
      <c r="H183" s="5"/>
      <c r="I183" s="5"/>
      <c r="J183" s="5"/>
    </row>
    <row r="184" spans="1:10" x14ac:dyDescent="0.35">
      <c r="A184" s="3"/>
      <c r="B184" s="31"/>
      <c r="C184" s="32"/>
      <c r="D184" s="5"/>
      <c r="E184" s="5"/>
      <c r="F184" s="5"/>
      <c r="G184" s="5"/>
      <c r="H184" s="5"/>
      <c r="I184" s="5"/>
      <c r="J184" s="5"/>
    </row>
    <row r="185" spans="1:10" x14ac:dyDescent="0.35">
      <c r="A185" s="9" t="s">
        <v>305</v>
      </c>
      <c r="B185" s="9"/>
      <c r="C185" s="9"/>
      <c r="D185" s="20">
        <f>SUM(D180:D184)</f>
        <v>0</v>
      </c>
      <c r="E185" s="20">
        <f t="shared" ref="E185:J185" si="21">SUM(E180:E184)</f>
        <v>0</v>
      </c>
      <c r="F185" s="20">
        <f t="shared" si="21"/>
        <v>0</v>
      </c>
      <c r="G185" s="20">
        <f t="shared" si="21"/>
        <v>0</v>
      </c>
      <c r="H185" s="20">
        <f t="shared" si="21"/>
        <v>0</v>
      </c>
      <c r="I185" s="20">
        <f t="shared" si="21"/>
        <v>0</v>
      </c>
      <c r="J185" s="20">
        <f t="shared" si="21"/>
        <v>0</v>
      </c>
    </row>
    <row r="186" spans="1:10" x14ac:dyDescent="0.35">
      <c r="A186" s="36" t="s">
        <v>293</v>
      </c>
      <c r="B186" s="36"/>
      <c r="C186" s="36"/>
      <c r="D186" s="20">
        <f>D177+D185</f>
        <v>0</v>
      </c>
      <c r="E186" s="20">
        <f t="shared" ref="E186:J186" si="22">E177+E185</f>
        <v>0</v>
      </c>
      <c r="F186" s="20">
        <f t="shared" si="22"/>
        <v>0</v>
      </c>
      <c r="G186" s="20">
        <f t="shared" si="22"/>
        <v>0</v>
      </c>
      <c r="H186" s="20">
        <f t="shared" si="22"/>
        <v>0</v>
      </c>
      <c r="I186" s="20">
        <f t="shared" si="22"/>
        <v>0</v>
      </c>
      <c r="J186" s="20">
        <f t="shared" si="22"/>
        <v>0</v>
      </c>
    </row>
    <row r="187" spans="1:10" x14ac:dyDescent="0.35">
      <c r="A187" s="3"/>
      <c r="B187" s="3"/>
      <c r="C187" s="3"/>
      <c r="D187" s="5"/>
      <c r="E187" s="5"/>
      <c r="F187" s="5"/>
      <c r="G187" s="5"/>
      <c r="H187" s="5"/>
      <c r="I187" s="5"/>
      <c r="J187" s="5"/>
    </row>
    <row r="188" spans="1:10" x14ac:dyDescent="0.35">
      <c r="A188" s="9" t="s">
        <v>7</v>
      </c>
      <c r="B188" s="9"/>
      <c r="C188" s="9"/>
      <c r="D188" s="20">
        <f t="shared" ref="D188:J188" si="23">D159-D186</f>
        <v>0</v>
      </c>
      <c r="E188" s="20">
        <f t="shared" si="23"/>
        <v>0</v>
      </c>
      <c r="F188" s="20">
        <f t="shared" si="23"/>
        <v>0</v>
      </c>
      <c r="G188" s="20">
        <f t="shared" si="23"/>
        <v>0</v>
      </c>
      <c r="H188" s="20">
        <f t="shared" si="23"/>
        <v>0</v>
      </c>
      <c r="I188" s="20">
        <f t="shared" si="23"/>
        <v>0</v>
      </c>
      <c r="J188" s="20">
        <f t="shared" si="23"/>
        <v>0</v>
      </c>
    </row>
    <row r="189" spans="1:10" x14ac:dyDescent="0.35">
      <c r="A189" s="6"/>
      <c r="B189" s="6"/>
      <c r="C189" s="6"/>
    </row>
    <row r="192" spans="1:10" x14ac:dyDescent="0.35">
      <c r="A192" s="625" t="s">
        <v>415</v>
      </c>
      <c r="B192" s="625"/>
      <c r="C192" s="625"/>
      <c r="D192" s="625"/>
      <c r="E192" s="625"/>
      <c r="F192" s="625"/>
      <c r="G192" s="625"/>
      <c r="H192" s="625"/>
      <c r="I192" s="625"/>
      <c r="J192" s="625"/>
    </row>
    <row r="194" spans="1:5" x14ac:dyDescent="0.35">
      <c r="A194" s="1" t="s">
        <v>518</v>
      </c>
    </row>
    <row r="195" spans="1:5" x14ac:dyDescent="0.35">
      <c r="A195" s="1">
        <v>1</v>
      </c>
      <c r="B195" s="1" t="s">
        <v>531</v>
      </c>
    </row>
    <row r="196" spans="1:5" x14ac:dyDescent="0.35">
      <c r="A196" s="1">
        <v>2</v>
      </c>
      <c r="B196" s="1" t="s">
        <v>532</v>
      </c>
      <c r="C196" s="37"/>
      <c r="D196" s="37"/>
      <c r="E196" s="37"/>
    </row>
    <row r="197" spans="1:5" x14ac:dyDescent="0.35">
      <c r="A197" s="1">
        <v>3</v>
      </c>
      <c r="B197" s="1" t="s">
        <v>581</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43"/>
  <sheetViews>
    <sheetView topLeftCell="A22" zoomScale="70" zoomScaleNormal="70" workbookViewId="0">
      <selection activeCell="B18" sqref="B18:E43"/>
    </sheetView>
  </sheetViews>
  <sheetFormatPr defaultColWidth="8.7109375" defaultRowHeight="15" x14ac:dyDescent="0.25"/>
  <cols>
    <col min="1" max="1" width="2.85546875" style="192" customWidth="1"/>
    <col min="2" max="2" width="6.42578125" style="192" customWidth="1"/>
    <col min="3" max="3" width="47" style="192" bestFit="1" customWidth="1"/>
    <col min="4" max="4" width="3.140625" style="192" customWidth="1"/>
    <col min="5" max="5" width="42" style="192" customWidth="1"/>
    <col min="6" max="16384" width="8.7109375" style="192"/>
  </cols>
  <sheetData>
    <row r="3" spans="2:6" ht="14.45" x14ac:dyDescent="0.35">
      <c r="B3" s="192" t="s">
        <v>713</v>
      </c>
    </row>
    <row r="5" spans="2:6" ht="14.45" x14ac:dyDescent="0.35">
      <c r="B5" s="108" t="s">
        <v>714</v>
      </c>
    </row>
    <row r="6" spans="2:6" ht="14.45" x14ac:dyDescent="0.35">
      <c r="B6" s="328">
        <v>1</v>
      </c>
      <c r="C6" s="350" t="s">
        <v>1279</v>
      </c>
      <c r="D6" s="350" t="s">
        <v>1099</v>
      </c>
      <c r="E6" s="350"/>
      <c r="F6" s="330"/>
    </row>
    <row r="7" spans="2:6" ht="14.45" x14ac:dyDescent="0.35">
      <c r="B7" s="315"/>
      <c r="C7" s="335"/>
      <c r="D7" s="335"/>
      <c r="E7" s="335"/>
      <c r="F7" s="354"/>
    </row>
    <row r="8" spans="2:6" ht="14.45" x14ac:dyDescent="0.35">
      <c r="B8" s="315">
        <v>2</v>
      </c>
      <c r="C8" s="335" t="s">
        <v>715</v>
      </c>
      <c r="D8" s="335" t="s">
        <v>1100</v>
      </c>
      <c r="E8" s="335"/>
      <c r="F8" s="354"/>
    </row>
    <row r="9" spans="2:6" ht="14.45" x14ac:dyDescent="0.35">
      <c r="B9" s="315"/>
      <c r="C9" s="335"/>
      <c r="D9" s="335"/>
      <c r="E9" s="335"/>
      <c r="F9" s="354"/>
    </row>
    <row r="10" spans="2:6" ht="14.45" x14ac:dyDescent="0.35">
      <c r="B10" s="315"/>
      <c r="C10" s="335"/>
      <c r="D10" s="335"/>
      <c r="E10" s="335"/>
      <c r="F10" s="354"/>
    </row>
    <row r="11" spans="2:6" x14ac:dyDescent="0.25">
      <c r="B11" s="315">
        <v>3</v>
      </c>
      <c r="C11" s="335" t="s">
        <v>716</v>
      </c>
      <c r="D11" s="335" t="s">
        <v>1280</v>
      </c>
      <c r="E11" s="335"/>
      <c r="F11" s="354"/>
    </row>
    <row r="12" spans="2:6" ht="14.45" x14ac:dyDescent="0.35">
      <c r="B12" s="315"/>
      <c r="C12" s="335"/>
      <c r="D12" s="335" t="s">
        <v>1281</v>
      </c>
      <c r="E12" s="335"/>
      <c r="F12" s="354"/>
    </row>
    <row r="13" spans="2:6" ht="14.45" x14ac:dyDescent="0.35">
      <c r="B13" s="315"/>
      <c r="C13" s="335"/>
      <c r="D13" s="335" t="s">
        <v>1282</v>
      </c>
      <c r="E13" s="335"/>
      <c r="F13" s="354"/>
    </row>
    <row r="14" spans="2:6" ht="14.45" x14ac:dyDescent="0.35">
      <c r="B14" s="315"/>
      <c r="C14" s="335"/>
      <c r="D14" s="335" t="s">
        <v>1283</v>
      </c>
      <c r="E14" s="335"/>
      <c r="F14" s="354"/>
    </row>
    <row r="15" spans="2:6" ht="14.45" x14ac:dyDescent="0.35">
      <c r="B15" s="318"/>
      <c r="C15" s="324"/>
      <c r="D15" s="324"/>
      <c r="E15" s="324"/>
      <c r="F15" s="352"/>
    </row>
    <row r="18" spans="2:5" x14ac:dyDescent="0.25">
      <c r="B18" s="327" t="s">
        <v>1284</v>
      </c>
    </row>
    <row r="19" spans="2:5" thickBot="1" x14ac:dyDescent="0.4"/>
    <row r="20" spans="2:5" x14ac:dyDescent="0.25">
      <c r="B20" s="639">
        <v>1</v>
      </c>
      <c r="C20" s="642" t="s">
        <v>1320</v>
      </c>
      <c r="D20" s="222"/>
      <c r="E20" s="222" t="s">
        <v>1321</v>
      </c>
    </row>
    <row r="21" spans="2:5" x14ac:dyDescent="0.25">
      <c r="B21" s="640"/>
      <c r="C21" s="643"/>
      <c r="D21" s="223"/>
      <c r="E21" s="223" t="s">
        <v>1285</v>
      </c>
    </row>
    <row r="22" spans="2:5" ht="30" x14ac:dyDescent="0.25">
      <c r="B22" s="640"/>
      <c r="C22" s="643"/>
      <c r="D22" s="223"/>
      <c r="E22" s="223" t="s">
        <v>1286</v>
      </c>
    </row>
    <row r="23" spans="2:5" x14ac:dyDescent="0.25">
      <c r="B23" s="640"/>
      <c r="C23" s="643"/>
      <c r="D23" s="223"/>
      <c r="E23" s="223" t="s">
        <v>1287</v>
      </c>
    </row>
    <row r="24" spans="2:5" ht="15.75" thickBot="1" x14ac:dyDescent="0.3">
      <c r="B24" s="641"/>
      <c r="C24" s="644"/>
      <c r="D24" s="355"/>
      <c r="E24" s="355"/>
    </row>
    <row r="25" spans="2:5" thickBot="1" x14ac:dyDescent="0.4">
      <c r="B25" s="208">
        <v>2</v>
      </c>
      <c r="C25" s="356" t="s">
        <v>717</v>
      </c>
      <c r="D25" s="125"/>
      <c r="E25" s="125" t="s">
        <v>1322</v>
      </c>
    </row>
    <row r="26" spans="2:5" x14ac:dyDescent="0.25">
      <c r="B26" s="639">
        <v>2.1</v>
      </c>
      <c r="C26" s="642" t="s">
        <v>718</v>
      </c>
      <c r="D26" s="645"/>
      <c r="E26" s="175" t="s">
        <v>1101</v>
      </c>
    </row>
    <row r="27" spans="2:5" x14ac:dyDescent="0.25">
      <c r="B27" s="640"/>
      <c r="C27" s="643"/>
      <c r="D27" s="646"/>
      <c r="E27" s="224" t="s">
        <v>1102</v>
      </c>
    </row>
    <row r="28" spans="2:5" ht="15.75" thickBot="1" x14ac:dyDescent="0.3">
      <c r="B28" s="641"/>
      <c r="C28" s="644"/>
      <c r="D28" s="647"/>
      <c r="E28" s="105"/>
    </row>
    <row r="29" spans="2:5" x14ac:dyDescent="0.25">
      <c r="B29" s="639">
        <v>2.2000000000000002</v>
      </c>
      <c r="C29" s="639" t="s">
        <v>719</v>
      </c>
      <c r="D29" s="116"/>
      <c r="E29" s="116" t="s">
        <v>1103</v>
      </c>
    </row>
    <row r="30" spans="2:5" ht="30" x14ac:dyDescent="0.25">
      <c r="B30" s="640"/>
      <c r="C30" s="640"/>
      <c r="D30" s="116"/>
      <c r="E30" s="116" t="s">
        <v>1104</v>
      </c>
    </row>
    <row r="31" spans="2:5" ht="30" x14ac:dyDescent="0.25">
      <c r="B31" s="640"/>
      <c r="C31" s="640"/>
      <c r="D31" s="116"/>
      <c r="E31" s="116" t="s">
        <v>1105</v>
      </c>
    </row>
    <row r="32" spans="2:5" ht="15.75" thickBot="1" x14ac:dyDescent="0.3">
      <c r="B32" s="641"/>
      <c r="C32" s="641"/>
      <c r="D32" s="102"/>
      <c r="E32" s="102"/>
    </row>
    <row r="33" spans="2:5" ht="15.75" thickBot="1" x14ac:dyDescent="0.3">
      <c r="B33" s="208">
        <v>3</v>
      </c>
      <c r="C33" s="111" t="s">
        <v>720</v>
      </c>
      <c r="D33" s="102"/>
      <c r="E33" s="102" t="s">
        <v>1106</v>
      </c>
    </row>
    <row r="34" spans="2:5" ht="30.75" thickBot="1" x14ac:dyDescent="0.3">
      <c r="B34" s="208">
        <v>4</v>
      </c>
      <c r="C34" s="111" t="s">
        <v>721</v>
      </c>
      <c r="D34" s="102"/>
      <c r="E34" s="102" t="s">
        <v>1107</v>
      </c>
    </row>
    <row r="35" spans="2:5" x14ac:dyDescent="0.25">
      <c r="B35" s="639">
        <v>5</v>
      </c>
      <c r="C35" s="639" t="s">
        <v>722</v>
      </c>
      <c r="D35" s="645"/>
      <c r="E35" s="639">
        <v>15</v>
      </c>
    </row>
    <row r="36" spans="2:5" x14ac:dyDescent="0.25">
      <c r="B36" s="640"/>
      <c r="C36" s="640"/>
      <c r="D36" s="646"/>
      <c r="E36" s="640"/>
    </row>
    <row r="37" spans="2:5" x14ac:dyDescent="0.25">
      <c r="B37" s="640"/>
      <c r="C37" s="640"/>
      <c r="D37" s="646"/>
      <c r="E37" s="640"/>
    </row>
    <row r="38" spans="2:5" ht="15.75" thickBot="1" x14ac:dyDescent="0.3">
      <c r="B38" s="641"/>
      <c r="C38" s="641"/>
      <c r="D38" s="647"/>
      <c r="E38" s="641"/>
    </row>
    <row r="39" spans="2:5" x14ac:dyDescent="0.25">
      <c r="B39" s="639">
        <v>6</v>
      </c>
      <c r="C39" s="642" t="s">
        <v>1323</v>
      </c>
      <c r="D39" s="645"/>
      <c r="E39" s="639">
        <v>10.68</v>
      </c>
    </row>
    <row r="40" spans="2:5" x14ac:dyDescent="0.25">
      <c r="B40" s="640"/>
      <c r="C40" s="643"/>
      <c r="D40" s="646"/>
      <c r="E40" s="640"/>
    </row>
    <row r="41" spans="2:5" x14ac:dyDescent="0.25">
      <c r="B41" s="640"/>
      <c r="C41" s="643"/>
      <c r="D41" s="646"/>
      <c r="E41" s="640"/>
    </row>
    <row r="42" spans="2:5" x14ac:dyDescent="0.25">
      <c r="B42" s="640"/>
      <c r="C42" s="643"/>
      <c r="D42" s="646"/>
      <c r="E42" s="640"/>
    </row>
    <row r="43" spans="2:5" ht="15.75" thickBot="1" x14ac:dyDescent="0.3">
      <c r="B43" s="641"/>
      <c r="C43" s="644"/>
      <c r="D43" s="647"/>
      <c r="E43" s="641"/>
    </row>
  </sheetData>
  <mergeCells count="15">
    <mergeCell ref="B20:B24"/>
    <mergeCell ref="C20:C24"/>
    <mergeCell ref="B26:B28"/>
    <mergeCell ref="C26:C28"/>
    <mergeCell ref="D26:D28"/>
    <mergeCell ref="B39:B43"/>
    <mergeCell ref="C39:C43"/>
    <mergeCell ref="D39:D43"/>
    <mergeCell ref="E39:E43"/>
    <mergeCell ref="B29:B32"/>
    <mergeCell ref="C29:C32"/>
    <mergeCell ref="B35:B38"/>
    <mergeCell ref="C35:C38"/>
    <mergeCell ref="D35:D38"/>
    <mergeCell ref="E35:E38"/>
  </mergeCells>
  <pageMargins left="0.17" right="0.1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98" zoomScaleNormal="100" zoomScaleSheetLayoutView="145" workbookViewId="0">
      <selection activeCell="B27" sqref="B27:G33"/>
    </sheetView>
  </sheetViews>
  <sheetFormatPr defaultColWidth="8.7109375" defaultRowHeight="15" x14ac:dyDescent="0.25"/>
  <cols>
    <col min="1" max="1" width="8.7109375" style="192"/>
    <col min="2" max="2" width="7.5703125" style="192" bestFit="1" customWidth="1"/>
    <col min="3" max="3" width="26.28515625" style="192" bestFit="1" customWidth="1"/>
    <col min="4" max="4" width="15" style="192" customWidth="1"/>
    <col min="5" max="5" width="16" style="192" customWidth="1"/>
    <col min="6" max="6" width="17.85546875" style="192" customWidth="1"/>
    <col min="7" max="8" width="8.7109375" style="192"/>
    <col min="9" max="9" width="11.7109375" style="192" bestFit="1" customWidth="1"/>
    <col min="10" max="10" width="10.5703125" style="192" bestFit="1" customWidth="1"/>
    <col min="11" max="12" width="8.7109375" style="192"/>
    <col min="13" max="13" width="8.85546875" style="192" bestFit="1" customWidth="1"/>
    <col min="14" max="16384" width="8.7109375" style="192"/>
  </cols>
  <sheetData>
    <row r="2" spans="1:13" ht="14.45" x14ac:dyDescent="0.35">
      <c r="B2" s="565" t="s">
        <v>535</v>
      </c>
      <c r="C2" s="565"/>
      <c r="D2" s="565"/>
      <c r="E2" s="565"/>
      <c r="F2" s="565"/>
    </row>
    <row r="4" spans="1:13" ht="14.45" x14ac:dyDescent="0.35">
      <c r="B4" s="70" t="s">
        <v>141</v>
      </c>
      <c r="C4" s="70" t="s">
        <v>127</v>
      </c>
      <c r="D4" s="70" t="s">
        <v>154</v>
      </c>
      <c r="E4" s="71" t="s">
        <v>452</v>
      </c>
      <c r="F4" s="71" t="s">
        <v>453</v>
      </c>
    </row>
    <row r="5" spans="1:13" ht="29.1" x14ac:dyDescent="0.35">
      <c r="B5" s="72">
        <v>1</v>
      </c>
      <c r="C5" s="73" t="str">
        <f>Capex!B2</f>
        <v>Land, Wareshouse and Processing Unit</v>
      </c>
      <c r="D5" s="74">
        <f>Capex!G10</f>
        <v>7230000</v>
      </c>
      <c r="E5" s="308">
        <v>0.6</v>
      </c>
      <c r="F5" s="309">
        <f>D5*E5</f>
        <v>4338000</v>
      </c>
      <c r="I5" s="310">
        <f>D6+D5+D9</f>
        <v>16787638</v>
      </c>
      <c r="J5" s="311"/>
    </row>
    <row r="6" spans="1:13" ht="14.45" x14ac:dyDescent="0.35">
      <c r="B6" s="72">
        <v>2</v>
      </c>
      <c r="C6" s="73" t="str">
        <f>Capex!B15</f>
        <v>Machinery and Equipment</v>
      </c>
      <c r="D6" s="74">
        <f>Capex!G66</f>
        <v>8612700</v>
      </c>
      <c r="E6" s="308">
        <v>0.6</v>
      </c>
      <c r="F6" s="309">
        <f t="shared" ref="F6:F10" si="0">D6*E6</f>
        <v>5167620</v>
      </c>
    </row>
    <row r="7" spans="1:13" ht="14.45" x14ac:dyDescent="0.35">
      <c r="B7" s="72">
        <v>3</v>
      </c>
      <c r="C7" s="73" t="str">
        <f>Capex!B75</f>
        <v>Furniture and Fixture</v>
      </c>
      <c r="D7" s="74">
        <f>Capex!F84</f>
        <v>300400</v>
      </c>
      <c r="E7" s="308">
        <v>0.6</v>
      </c>
      <c r="F7" s="309">
        <f t="shared" si="0"/>
        <v>180240</v>
      </c>
    </row>
    <row r="8" spans="1:13" ht="14.45" x14ac:dyDescent="0.35">
      <c r="B8" s="72">
        <v>4</v>
      </c>
      <c r="C8" s="73" t="str">
        <f>Capex!B89</f>
        <v>IT &amp; IT Infrastracture</v>
      </c>
      <c r="D8" s="74">
        <f>Capex!F98</f>
        <v>179500</v>
      </c>
      <c r="E8" s="308">
        <v>0.6</v>
      </c>
      <c r="F8" s="309">
        <f t="shared" si="0"/>
        <v>107700</v>
      </c>
    </row>
    <row r="9" spans="1:13" ht="29.1" x14ac:dyDescent="0.35">
      <c r="B9" s="72">
        <v>5</v>
      </c>
      <c r="C9" s="73" t="str">
        <f>Capex!B103</f>
        <v>Transport Vehical  (Refer van and other)</v>
      </c>
      <c r="D9" s="74">
        <f>Capex!F109</f>
        <v>944938</v>
      </c>
      <c r="E9" s="308">
        <v>0</v>
      </c>
      <c r="F9" s="309">
        <f t="shared" si="0"/>
        <v>0</v>
      </c>
    </row>
    <row r="10" spans="1:13" ht="14.45" x14ac:dyDescent="0.35">
      <c r="B10" s="72">
        <v>6</v>
      </c>
      <c r="C10" s="73" t="str">
        <f>Capex!B113</f>
        <v>Preliminary Expenses</v>
      </c>
      <c r="D10" s="74">
        <f>Capex!D121</f>
        <v>500000</v>
      </c>
      <c r="E10" s="308">
        <v>0.6</v>
      </c>
      <c r="F10" s="309">
        <f t="shared" si="0"/>
        <v>300000</v>
      </c>
      <c r="L10" s="192" t="s">
        <v>407</v>
      </c>
    </row>
    <row r="11" spans="1:13" ht="14.45" x14ac:dyDescent="0.35">
      <c r="B11" s="72">
        <v>7</v>
      </c>
      <c r="C11" s="73" t="s">
        <v>1029</v>
      </c>
      <c r="D11" s="74">
        <f>'Stock WC'!E56</f>
        <v>289473.82483107038</v>
      </c>
      <c r="E11" s="312"/>
      <c r="F11" s="312"/>
    </row>
    <row r="12" spans="1:13" ht="14.45" x14ac:dyDescent="0.35">
      <c r="B12" s="564" t="s">
        <v>1</v>
      </c>
      <c r="C12" s="564"/>
      <c r="D12" s="75">
        <f>SUM(D5:D11)</f>
        <v>18057011.824831069</v>
      </c>
      <c r="E12" s="312"/>
      <c r="F12" s="75">
        <f>SUM(F5:F11)</f>
        <v>10093560</v>
      </c>
    </row>
    <row r="13" spans="1:13" ht="14.45" x14ac:dyDescent="0.35">
      <c r="D13" s="313"/>
      <c r="M13" s="192">
        <v>48</v>
      </c>
    </row>
    <row r="14" spans="1:13" ht="25.5" customHeight="1" x14ac:dyDescent="0.35">
      <c r="A14" s="566" t="s">
        <v>408</v>
      </c>
      <c r="B14" s="566"/>
      <c r="C14" s="566"/>
      <c r="D14" s="566"/>
      <c r="E14" s="566"/>
      <c r="F14" s="566"/>
      <c r="M14" s="192">
        <v>11.64</v>
      </c>
    </row>
    <row r="15" spans="1:13" ht="14.45" x14ac:dyDescent="0.35">
      <c r="M15" s="192">
        <f>M13+M14</f>
        <v>59.64</v>
      </c>
    </row>
    <row r="16" spans="1:13" ht="14.45" x14ac:dyDescent="0.35">
      <c r="B16" s="565" t="s">
        <v>536</v>
      </c>
      <c r="C16" s="565"/>
      <c r="D16" s="565"/>
      <c r="E16" s="565"/>
      <c r="F16" s="565"/>
      <c r="M16" s="192">
        <v>19.05</v>
      </c>
    </row>
    <row r="17" spans="2:13" ht="14.45" x14ac:dyDescent="0.35">
      <c r="M17" s="192">
        <f>M15+M16</f>
        <v>78.69</v>
      </c>
    </row>
    <row r="18" spans="2:13" ht="14.45" x14ac:dyDescent="0.35">
      <c r="B18" s="76" t="s">
        <v>141</v>
      </c>
      <c r="C18" s="70" t="s">
        <v>127</v>
      </c>
      <c r="D18" s="70" t="s">
        <v>625</v>
      </c>
      <c r="E18" s="70" t="s">
        <v>154</v>
      </c>
    </row>
    <row r="19" spans="2:13" ht="29.1" x14ac:dyDescent="0.35">
      <c r="B19" s="72">
        <v>1</v>
      </c>
      <c r="C19" s="73" t="s">
        <v>329</v>
      </c>
      <c r="D19" s="77"/>
      <c r="E19" s="78">
        <f>F12</f>
        <v>10093560</v>
      </c>
    </row>
    <row r="20" spans="2:13" ht="29.1" x14ac:dyDescent="0.35">
      <c r="B20" s="72">
        <v>2</v>
      </c>
      <c r="C20" s="73" t="s">
        <v>153</v>
      </c>
      <c r="D20" s="79" t="s">
        <v>1249</v>
      </c>
      <c r="E20" s="78">
        <v>6069848</v>
      </c>
    </row>
    <row r="21" spans="2:13" ht="14.45" x14ac:dyDescent="0.35">
      <c r="B21" s="72">
        <v>3</v>
      </c>
      <c r="C21" s="73" t="s">
        <v>132</v>
      </c>
      <c r="D21" s="78"/>
      <c r="E21" s="78">
        <f>D12-E19-E20</f>
        <v>1893603.8248310685</v>
      </c>
    </row>
    <row r="22" spans="2:13" ht="14.45" x14ac:dyDescent="0.35">
      <c r="B22" s="564" t="s">
        <v>1</v>
      </c>
      <c r="C22" s="564"/>
      <c r="D22" s="80"/>
      <c r="E22" s="80">
        <f>SUM(E19:E21)</f>
        <v>18057011.824831069</v>
      </c>
    </row>
    <row r="24" spans="2:13" x14ac:dyDescent="0.25">
      <c r="B24" s="565" t="s">
        <v>409</v>
      </c>
      <c r="C24" s="565"/>
      <c r="D24" s="565"/>
      <c r="E24" s="565"/>
      <c r="F24" s="565"/>
    </row>
    <row r="26" spans="2:13" x14ac:dyDescent="0.25">
      <c r="B26" s="563" t="s">
        <v>537</v>
      </c>
      <c r="C26" s="563"/>
      <c r="D26" s="563"/>
      <c r="E26" s="563"/>
      <c r="F26" s="563"/>
    </row>
    <row r="27" spans="2:13" x14ac:dyDescent="0.25">
      <c r="B27" s="81" t="s">
        <v>141</v>
      </c>
      <c r="C27" s="82" t="s">
        <v>584</v>
      </c>
      <c r="D27" s="83" t="s">
        <v>585</v>
      </c>
      <c r="E27" s="84" t="s">
        <v>586</v>
      </c>
      <c r="F27" s="561" t="s">
        <v>587</v>
      </c>
      <c r="G27" s="562"/>
    </row>
    <row r="28" spans="2:13" ht="30" x14ac:dyDescent="0.25">
      <c r="B28" s="85">
        <v>1</v>
      </c>
      <c r="C28" s="73" t="s">
        <v>369</v>
      </c>
      <c r="D28" s="86">
        <f>FI!C47</f>
        <v>0.44535360387929851</v>
      </c>
      <c r="E28" s="85" t="s">
        <v>370</v>
      </c>
      <c r="F28" s="87" t="s">
        <v>588</v>
      </c>
      <c r="G28" s="85" t="s">
        <v>371</v>
      </c>
    </row>
    <row r="29" spans="2:13" ht="45" x14ac:dyDescent="0.25">
      <c r="B29" s="85">
        <v>2</v>
      </c>
      <c r="C29" s="73" t="s">
        <v>372</v>
      </c>
      <c r="D29" s="88">
        <f>FI!C84</f>
        <v>0.20693225286169309</v>
      </c>
      <c r="E29" s="85" t="s">
        <v>370</v>
      </c>
      <c r="F29" s="87" t="s">
        <v>1328</v>
      </c>
      <c r="G29" s="85" t="s">
        <v>374</v>
      </c>
    </row>
    <row r="30" spans="2:13" ht="60" x14ac:dyDescent="0.25">
      <c r="B30" s="85">
        <v>3</v>
      </c>
      <c r="C30" s="73" t="s">
        <v>373</v>
      </c>
      <c r="D30" s="86">
        <f>FI!C14</f>
        <v>0.1102984383770047</v>
      </c>
      <c r="E30" s="85" t="s">
        <v>370</v>
      </c>
      <c r="F30" s="87" t="s">
        <v>1329</v>
      </c>
      <c r="G30" s="85" t="s">
        <v>1330</v>
      </c>
    </row>
    <row r="31" spans="2:13" ht="90" x14ac:dyDescent="0.25">
      <c r="B31" s="85">
        <v>4</v>
      </c>
      <c r="C31" s="73" t="s">
        <v>375</v>
      </c>
      <c r="D31" s="89">
        <f>FI!C72</f>
        <v>691986.57697851583</v>
      </c>
      <c r="E31" s="85" t="s">
        <v>379</v>
      </c>
      <c r="F31" s="87" t="s">
        <v>589</v>
      </c>
      <c r="G31" s="85" t="s">
        <v>376</v>
      </c>
    </row>
    <row r="32" spans="2:13" ht="60" x14ac:dyDescent="0.25">
      <c r="B32" s="85">
        <v>5</v>
      </c>
      <c r="C32" s="73" t="s">
        <v>377</v>
      </c>
      <c r="D32" s="90">
        <f>FI!D100</f>
        <v>4.5493351491076739</v>
      </c>
      <c r="E32" s="85" t="s">
        <v>370</v>
      </c>
      <c r="F32" s="87" t="s">
        <v>590</v>
      </c>
      <c r="G32" s="85" t="s">
        <v>380</v>
      </c>
    </row>
    <row r="33" spans="2:7" ht="60" x14ac:dyDescent="0.25">
      <c r="B33" s="85">
        <v>6</v>
      </c>
      <c r="C33" s="73" t="s">
        <v>378</v>
      </c>
      <c r="D33" s="90">
        <f>FI!C116</f>
        <v>2.5953713086070573</v>
      </c>
      <c r="E33" s="85" t="s">
        <v>370</v>
      </c>
      <c r="F33" s="87" t="s">
        <v>591</v>
      </c>
      <c r="G33" s="73" t="s">
        <v>381</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21" top="0.75" bottom="0.75" header="0.3" footer="0.3"/>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44"/>
  <sheetViews>
    <sheetView topLeftCell="A37" zoomScaleNormal="100" workbookViewId="0">
      <selection activeCell="B32" sqref="B32:L36"/>
    </sheetView>
  </sheetViews>
  <sheetFormatPr defaultColWidth="8.7109375" defaultRowHeight="15" x14ac:dyDescent="0.25"/>
  <cols>
    <col min="1" max="1" width="4.28515625" style="192" customWidth="1"/>
    <col min="2" max="2" width="6" style="192" customWidth="1"/>
    <col min="3" max="3" width="20.85546875" style="192" customWidth="1"/>
    <col min="4" max="6" width="8.7109375" style="192"/>
    <col min="7" max="7" width="11.28515625" style="192" customWidth="1"/>
    <col min="8" max="8" width="9.85546875" style="192" customWidth="1"/>
    <col min="9" max="9" width="11.7109375" style="192" customWidth="1"/>
    <col min="10" max="10" width="13.85546875" style="192" customWidth="1"/>
    <col min="11" max="11" width="12.140625" style="192" customWidth="1"/>
    <col min="12" max="16384" width="8.7109375" style="192"/>
  </cols>
  <sheetData>
    <row r="4" spans="2:11" ht="15.75" thickBot="1" x14ac:dyDescent="0.3">
      <c r="B4" s="327" t="s">
        <v>1276</v>
      </c>
    </row>
    <row r="5" spans="2:11" ht="58.5" thickBot="1" x14ac:dyDescent="0.4">
      <c r="B5" s="193" t="s">
        <v>383</v>
      </c>
      <c r="C5" s="194" t="s">
        <v>723</v>
      </c>
      <c r="D5" s="194" t="s">
        <v>724</v>
      </c>
      <c r="E5" s="194" t="s">
        <v>725</v>
      </c>
      <c r="F5" s="194" t="s">
        <v>726</v>
      </c>
      <c r="G5" s="194" t="s">
        <v>727</v>
      </c>
      <c r="H5" s="194" t="s">
        <v>728</v>
      </c>
      <c r="I5" s="194" t="s">
        <v>729</v>
      </c>
      <c r="J5" s="194" t="s">
        <v>730</v>
      </c>
      <c r="K5" s="194" t="s">
        <v>1277</v>
      </c>
    </row>
    <row r="6" spans="2:11" ht="29.45" thickBot="1" x14ac:dyDescent="0.4">
      <c r="B6" s="110">
        <v>1</v>
      </c>
      <c r="C6" s="213" t="s">
        <v>1108</v>
      </c>
      <c r="D6" s="213" t="s">
        <v>1109</v>
      </c>
      <c r="E6" s="213" t="s">
        <v>1123</v>
      </c>
      <c r="F6" s="213" t="s">
        <v>1168</v>
      </c>
      <c r="G6" s="213" t="s">
        <v>1122</v>
      </c>
      <c r="H6" s="213" t="s">
        <v>1137</v>
      </c>
      <c r="I6" s="213" t="s">
        <v>1136</v>
      </c>
      <c r="J6" s="213" t="s">
        <v>1141</v>
      </c>
      <c r="K6" s="213">
        <v>8971758045</v>
      </c>
    </row>
    <row r="7" spans="2:11" ht="29.45" thickBot="1" x14ac:dyDescent="0.4">
      <c r="B7" s="110">
        <v>2</v>
      </c>
      <c r="C7" s="213" t="s">
        <v>1115</v>
      </c>
      <c r="D7" s="213" t="s">
        <v>1116</v>
      </c>
      <c r="E7" s="213" t="s">
        <v>1120</v>
      </c>
      <c r="F7" s="213" t="s">
        <v>1170</v>
      </c>
      <c r="G7" s="213" t="s">
        <v>1122</v>
      </c>
      <c r="H7" s="213" t="s">
        <v>1124</v>
      </c>
      <c r="I7" s="213" t="s">
        <v>1129</v>
      </c>
      <c r="J7" s="213" t="s">
        <v>1128</v>
      </c>
      <c r="K7" s="213">
        <v>9049832525</v>
      </c>
    </row>
    <row r="8" spans="2:11" ht="29.45" thickBot="1" x14ac:dyDescent="0.4">
      <c r="B8" s="110">
        <v>3</v>
      </c>
      <c r="C8" s="213" t="s">
        <v>1110</v>
      </c>
      <c r="D8" s="213" t="s">
        <v>1109</v>
      </c>
      <c r="E8" s="213" t="s">
        <v>1123</v>
      </c>
      <c r="F8" s="213" t="s">
        <v>1171</v>
      </c>
      <c r="G8" s="213" t="s">
        <v>1122</v>
      </c>
      <c r="H8" s="213" t="s">
        <v>1124</v>
      </c>
      <c r="I8" s="213" t="s">
        <v>1138</v>
      </c>
      <c r="J8" s="213" t="s">
        <v>1148</v>
      </c>
      <c r="K8" s="213">
        <v>9403553425</v>
      </c>
    </row>
    <row r="9" spans="2:11" ht="14.25" customHeight="1" thickBot="1" x14ac:dyDescent="0.4">
      <c r="B9" s="110">
        <v>4</v>
      </c>
      <c r="C9" s="213" t="s">
        <v>1111</v>
      </c>
      <c r="D9" s="213" t="s">
        <v>1109</v>
      </c>
      <c r="E9" s="213" t="s">
        <v>1123</v>
      </c>
      <c r="F9" s="213" t="s">
        <v>1169</v>
      </c>
      <c r="G9" s="213" t="s">
        <v>1122</v>
      </c>
      <c r="H9" s="213" t="s">
        <v>1135</v>
      </c>
      <c r="I9" s="213" t="s">
        <v>1139</v>
      </c>
      <c r="J9" s="213" t="s">
        <v>1162</v>
      </c>
      <c r="K9" s="213">
        <v>9404262895</v>
      </c>
    </row>
    <row r="10" spans="2:11" ht="29.45" thickBot="1" x14ac:dyDescent="0.4">
      <c r="B10" s="110">
        <v>5</v>
      </c>
      <c r="C10" s="213" t="s">
        <v>1112</v>
      </c>
      <c r="D10" s="213" t="s">
        <v>1109</v>
      </c>
      <c r="E10" s="213" t="s">
        <v>1123</v>
      </c>
      <c r="F10" s="213" t="s">
        <v>1168</v>
      </c>
      <c r="G10" s="213" t="s">
        <v>1122</v>
      </c>
      <c r="H10" s="213" t="s">
        <v>1124</v>
      </c>
      <c r="I10" s="213" t="s">
        <v>1140</v>
      </c>
      <c r="J10" s="213" t="s">
        <v>1163</v>
      </c>
      <c r="K10" s="213">
        <v>8275613224</v>
      </c>
    </row>
    <row r="11" spans="2:11" ht="29.45" thickBot="1" x14ac:dyDescent="0.4">
      <c r="B11" s="110">
        <v>6</v>
      </c>
      <c r="C11" s="213" t="s">
        <v>1113</v>
      </c>
      <c r="D11" s="213" t="s">
        <v>1109</v>
      </c>
      <c r="E11" s="213" t="s">
        <v>1123</v>
      </c>
      <c r="F11" s="213" t="s">
        <v>1168</v>
      </c>
      <c r="G11" s="213" t="s">
        <v>1122</v>
      </c>
      <c r="H11" s="213" t="s">
        <v>1132</v>
      </c>
      <c r="I11" s="213" t="s">
        <v>1131</v>
      </c>
      <c r="J11" s="213" t="s">
        <v>1164</v>
      </c>
      <c r="K11" s="213">
        <v>9421243761</v>
      </c>
    </row>
    <row r="12" spans="2:11" ht="29.45" thickBot="1" x14ac:dyDescent="0.4">
      <c r="B12" s="110">
        <v>7</v>
      </c>
      <c r="C12" s="213" t="s">
        <v>1114</v>
      </c>
      <c r="D12" s="213" t="s">
        <v>1109</v>
      </c>
      <c r="E12" s="213" t="s">
        <v>1123</v>
      </c>
      <c r="F12" s="213" t="s">
        <v>1169</v>
      </c>
      <c r="G12" s="213" t="s">
        <v>1122</v>
      </c>
      <c r="H12" s="213" t="s">
        <v>1135</v>
      </c>
      <c r="I12" s="213" t="s">
        <v>1130</v>
      </c>
      <c r="J12" s="213" t="s">
        <v>1161</v>
      </c>
      <c r="K12" s="213">
        <v>9403385130</v>
      </c>
    </row>
    <row r="13" spans="2:11" ht="29.45" thickBot="1" x14ac:dyDescent="0.4">
      <c r="B13" s="110">
        <v>8</v>
      </c>
      <c r="C13" s="213" t="s">
        <v>1119</v>
      </c>
      <c r="D13" s="213" t="s">
        <v>1109</v>
      </c>
      <c r="E13" s="213" t="s">
        <v>1121</v>
      </c>
      <c r="F13" s="213" t="s">
        <v>1172</v>
      </c>
      <c r="G13" s="213" t="s">
        <v>1122</v>
      </c>
      <c r="H13" s="213" t="s">
        <v>1124</v>
      </c>
      <c r="I13" s="213" t="s">
        <v>1125</v>
      </c>
      <c r="J13" s="213" t="s">
        <v>1165</v>
      </c>
      <c r="K13" s="213">
        <v>9420894220</v>
      </c>
    </row>
    <row r="14" spans="2:11" ht="17.25" customHeight="1" thickBot="1" x14ac:dyDescent="0.4">
      <c r="B14" s="110">
        <v>9</v>
      </c>
      <c r="C14" s="213" t="s">
        <v>1117</v>
      </c>
      <c r="D14" s="213" t="s">
        <v>1109</v>
      </c>
      <c r="E14" s="213" t="s">
        <v>1123</v>
      </c>
      <c r="F14" s="213" t="s">
        <v>1168</v>
      </c>
      <c r="G14" s="213" t="s">
        <v>1122</v>
      </c>
      <c r="H14" s="213" t="s">
        <v>1126</v>
      </c>
      <c r="I14" s="213" t="s">
        <v>1127</v>
      </c>
      <c r="J14" s="213" t="s">
        <v>1166</v>
      </c>
      <c r="K14" s="213">
        <v>9403459044</v>
      </c>
    </row>
    <row r="15" spans="2:11" ht="29.45" thickBot="1" x14ac:dyDescent="0.4">
      <c r="B15" s="110">
        <v>10</v>
      </c>
      <c r="C15" s="213" t="s">
        <v>1118</v>
      </c>
      <c r="D15" s="213" t="s">
        <v>1109</v>
      </c>
      <c r="E15" s="213" t="s">
        <v>1123</v>
      </c>
      <c r="F15" s="213" t="s">
        <v>1168</v>
      </c>
      <c r="G15" s="213" t="s">
        <v>1122</v>
      </c>
      <c r="H15" s="213" t="s">
        <v>1134</v>
      </c>
      <c r="I15" s="213" t="s">
        <v>1133</v>
      </c>
      <c r="J15" s="213" t="s">
        <v>1167</v>
      </c>
      <c r="K15" s="213">
        <v>9921384129</v>
      </c>
    </row>
    <row r="16" spans="2:11" ht="15.75" thickBot="1" x14ac:dyDescent="0.3">
      <c r="B16" s="214"/>
      <c r="C16" s="213"/>
      <c r="D16" s="213"/>
      <c r="E16" s="213"/>
      <c r="F16" s="213"/>
      <c r="G16" s="213"/>
      <c r="H16" s="213"/>
      <c r="I16" s="213"/>
      <c r="J16" s="213"/>
      <c r="K16" s="213"/>
    </row>
    <row r="18" spans="2:11" x14ac:dyDescent="0.25">
      <c r="B18" s="192" t="s">
        <v>731</v>
      </c>
    </row>
    <row r="20" spans="2:11" ht="15.75" thickBot="1" x14ac:dyDescent="0.3">
      <c r="B20" s="327" t="s">
        <v>1278</v>
      </c>
    </row>
    <row r="21" spans="2:11" ht="30.75" thickBot="1" x14ac:dyDescent="0.3">
      <c r="B21" s="193" t="s">
        <v>383</v>
      </c>
      <c r="C21" s="194" t="s">
        <v>732</v>
      </c>
      <c r="D21" s="194"/>
      <c r="E21" s="194" t="s">
        <v>733</v>
      </c>
      <c r="F21" s="669" t="s">
        <v>734</v>
      </c>
      <c r="G21" s="670"/>
      <c r="H21" s="669" t="s">
        <v>735</v>
      </c>
      <c r="I21" s="671"/>
      <c r="J21" s="558" t="s">
        <v>736</v>
      </c>
      <c r="K21" s="560"/>
    </row>
    <row r="22" spans="2:11" ht="24.75" customHeight="1" thickBot="1" x14ac:dyDescent="0.3">
      <c r="B22" s="110">
        <v>1</v>
      </c>
      <c r="C22" s="213" t="s">
        <v>1173</v>
      </c>
      <c r="D22" s="213"/>
      <c r="E22" s="106">
        <v>1</v>
      </c>
      <c r="F22" s="672" t="s">
        <v>1173</v>
      </c>
      <c r="G22" s="673"/>
      <c r="H22" s="672" t="s">
        <v>1175</v>
      </c>
      <c r="I22" s="674"/>
      <c r="J22" s="675" t="s">
        <v>1177</v>
      </c>
      <c r="K22" s="676"/>
    </row>
    <row r="23" spans="2:11" ht="30" x14ac:dyDescent="0.25">
      <c r="B23" s="215">
        <v>2</v>
      </c>
      <c r="C23" s="216" t="s">
        <v>1174</v>
      </c>
      <c r="D23" s="216"/>
      <c r="E23" s="217">
        <v>1</v>
      </c>
      <c r="F23" s="664" t="s">
        <v>1174</v>
      </c>
      <c r="G23" s="665"/>
      <c r="H23" s="664" t="s">
        <v>1176</v>
      </c>
      <c r="I23" s="666"/>
      <c r="J23" s="667" t="s">
        <v>1178</v>
      </c>
      <c r="K23" s="668"/>
    </row>
    <row r="24" spans="2:11" x14ac:dyDescent="0.25">
      <c r="B24" s="312">
        <v>3</v>
      </c>
      <c r="C24" s="334" t="s">
        <v>1179</v>
      </c>
      <c r="D24" s="334"/>
      <c r="E24" s="353">
        <v>5</v>
      </c>
      <c r="F24" s="648" t="s">
        <v>1179</v>
      </c>
      <c r="G24" s="649"/>
      <c r="H24" s="648" t="s">
        <v>1181</v>
      </c>
      <c r="I24" s="649"/>
      <c r="J24" s="648" t="s">
        <v>1180</v>
      </c>
      <c r="K24" s="649"/>
    </row>
    <row r="32" spans="2:11" ht="15.75" thickBot="1" x14ac:dyDescent="0.3">
      <c r="B32" s="108" t="s">
        <v>737</v>
      </c>
    </row>
    <row r="33" spans="2:12" ht="30" x14ac:dyDescent="0.25">
      <c r="B33" s="659" t="s">
        <v>738</v>
      </c>
      <c r="C33" s="659" t="s">
        <v>739</v>
      </c>
      <c r="D33" s="659" t="s">
        <v>740</v>
      </c>
      <c r="E33" s="659" t="s">
        <v>741</v>
      </c>
      <c r="F33" s="659" t="s">
        <v>742</v>
      </c>
      <c r="G33" s="218" t="s">
        <v>743</v>
      </c>
      <c r="H33" s="200" t="s">
        <v>744</v>
      </c>
      <c r="I33" s="218" t="s">
        <v>745</v>
      </c>
      <c r="J33" s="218" t="s">
        <v>746</v>
      </c>
      <c r="K33" s="659" t="s">
        <v>747</v>
      </c>
      <c r="L33" s="659" t="s">
        <v>748</v>
      </c>
    </row>
    <row r="34" spans="2:12" ht="30" x14ac:dyDescent="0.25">
      <c r="B34" s="660"/>
      <c r="C34" s="660"/>
      <c r="D34" s="660"/>
      <c r="E34" s="660"/>
      <c r="F34" s="660"/>
      <c r="G34" s="219" t="s">
        <v>749</v>
      </c>
      <c r="H34" s="187" t="s">
        <v>750</v>
      </c>
      <c r="I34" s="219" t="s">
        <v>751</v>
      </c>
      <c r="J34" s="219" t="s">
        <v>752</v>
      </c>
      <c r="K34" s="660"/>
      <c r="L34" s="660"/>
    </row>
    <row r="35" spans="2:12" ht="15.75" thickBot="1" x14ac:dyDescent="0.3">
      <c r="B35" s="661"/>
      <c r="C35" s="661"/>
      <c r="D35" s="661"/>
      <c r="E35" s="661"/>
      <c r="F35" s="661"/>
      <c r="G35" s="220" t="s">
        <v>753</v>
      </c>
      <c r="H35" s="102"/>
      <c r="I35" s="114"/>
      <c r="J35" s="114"/>
      <c r="K35" s="661"/>
      <c r="L35" s="661"/>
    </row>
    <row r="36" spans="2:12" ht="15.75" thickBot="1" x14ac:dyDescent="0.3">
      <c r="B36" s="105">
        <v>307</v>
      </c>
      <c r="C36" s="102">
        <v>125</v>
      </c>
      <c r="D36" s="102">
        <f>+B36-C36</f>
        <v>182</v>
      </c>
      <c r="E36" s="102">
        <v>36</v>
      </c>
      <c r="F36" s="102">
        <v>0</v>
      </c>
      <c r="G36" s="102">
        <v>297</v>
      </c>
      <c r="H36" s="102">
        <v>7</v>
      </c>
      <c r="I36" s="102">
        <v>2</v>
      </c>
      <c r="J36" s="102">
        <v>1</v>
      </c>
      <c r="K36" s="102">
        <v>0</v>
      </c>
      <c r="L36" s="102">
        <v>0</v>
      </c>
    </row>
    <row r="39" spans="2:12" x14ac:dyDescent="0.25">
      <c r="B39" s="192" t="s">
        <v>754</v>
      </c>
    </row>
    <row r="40" spans="2:12" ht="15.75" thickBot="1" x14ac:dyDescent="0.3">
      <c r="B40" s="192" t="s">
        <v>755</v>
      </c>
    </row>
    <row r="41" spans="2:12" ht="45.75" customHeight="1" thickBot="1" x14ac:dyDescent="0.3">
      <c r="B41" s="99" t="s">
        <v>383</v>
      </c>
      <c r="C41" s="650" t="s">
        <v>756</v>
      </c>
      <c r="D41" s="651"/>
      <c r="E41" s="650" t="s">
        <v>715</v>
      </c>
      <c r="F41" s="652"/>
      <c r="G41" s="653" t="s">
        <v>757</v>
      </c>
      <c r="H41" s="654"/>
      <c r="I41" s="662" t="s">
        <v>758</v>
      </c>
      <c r="J41" s="663"/>
      <c r="K41" s="653" t="s">
        <v>759</v>
      </c>
      <c r="L41" s="654"/>
    </row>
    <row r="42" spans="2:12" ht="15.75" thickBot="1" x14ac:dyDescent="0.3">
      <c r="B42" s="221"/>
      <c r="C42" s="650"/>
      <c r="D42" s="651"/>
      <c r="E42" s="650"/>
      <c r="F42" s="652"/>
      <c r="G42" s="653"/>
      <c r="H42" s="654"/>
      <c r="I42" s="655"/>
      <c r="J42" s="656"/>
      <c r="K42" s="655"/>
      <c r="L42" s="656"/>
    </row>
    <row r="43" spans="2:12" ht="15.75" thickBot="1" x14ac:dyDescent="0.3">
      <c r="B43" s="221"/>
      <c r="C43" s="650"/>
      <c r="D43" s="651"/>
      <c r="E43" s="650"/>
      <c r="F43" s="652"/>
      <c r="G43" s="653" t="s">
        <v>1070</v>
      </c>
      <c r="H43" s="654"/>
      <c r="I43" s="655"/>
      <c r="J43" s="656"/>
      <c r="K43" s="655"/>
      <c r="L43" s="656"/>
    </row>
    <row r="44" spans="2:12" ht="15.75" thickBot="1" x14ac:dyDescent="0.3">
      <c r="B44" s="221"/>
      <c r="C44" s="650"/>
      <c r="D44" s="651"/>
      <c r="E44" s="650"/>
      <c r="F44" s="652"/>
      <c r="G44" s="653"/>
      <c r="H44" s="654"/>
      <c r="I44" s="655"/>
      <c r="J44" s="656"/>
      <c r="K44" s="657"/>
      <c r="L44" s="658"/>
    </row>
  </sheetData>
  <mergeCells count="39">
    <mergeCell ref="F23:G23"/>
    <mergeCell ref="H23:I23"/>
    <mergeCell ref="J23:K23"/>
    <mergeCell ref="F21:G21"/>
    <mergeCell ref="H21:I21"/>
    <mergeCell ref="J21:K21"/>
    <mergeCell ref="F22:G22"/>
    <mergeCell ref="H22:I22"/>
    <mergeCell ref="J22:K22"/>
    <mergeCell ref="B33:B35"/>
    <mergeCell ref="C33:C35"/>
    <mergeCell ref="D33:D35"/>
    <mergeCell ref="E33:E35"/>
    <mergeCell ref="F33:F35"/>
    <mergeCell ref="I43:J43"/>
    <mergeCell ref="K43:L43"/>
    <mergeCell ref="L33:L35"/>
    <mergeCell ref="C41:D41"/>
    <mergeCell ref="E41:F41"/>
    <mergeCell ref="G41:H41"/>
    <mergeCell ref="I41:J41"/>
    <mergeCell ref="K41:L41"/>
    <mergeCell ref="K33:K35"/>
    <mergeCell ref="F24:G24"/>
    <mergeCell ref="H24:I24"/>
    <mergeCell ref="J24:K24"/>
    <mergeCell ref="C44:D44"/>
    <mergeCell ref="E44:F44"/>
    <mergeCell ref="G44:H44"/>
    <mergeCell ref="I44:J44"/>
    <mergeCell ref="K44:L44"/>
    <mergeCell ref="C42:D42"/>
    <mergeCell ref="E42:F42"/>
    <mergeCell ref="G42:H42"/>
    <mergeCell ref="I42:J42"/>
    <mergeCell ref="K42:L42"/>
    <mergeCell ref="C43:D43"/>
    <mergeCell ref="E43:F43"/>
    <mergeCell ref="G43:H43"/>
  </mergeCells>
  <pageMargins left="0.26" right="0.25" top="0.2" bottom="0.2" header="0.17" footer="0.17"/>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74"/>
  <sheetViews>
    <sheetView topLeftCell="A52" zoomScaleNormal="100" workbookViewId="0">
      <selection activeCell="B46" sqref="B46:H69"/>
    </sheetView>
  </sheetViews>
  <sheetFormatPr defaultColWidth="8.7109375" defaultRowHeight="15" x14ac:dyDescent="0.25"/>
  <cols>
    <col min="1" max="1" width="6.42578125" style="192" customWidth="1"/>
    <col min="2" max="2" width="5.5703125" style="192" customWidth="1"/>
    <col min="3" max="3" width="16.140625" style="192" customWidth="1"/>
    <col min="4" max="4" width="11.28515625" style="192" customWidth="1"/>
    <col min="5" max="5" width="11.42578125" style="192" customWidth="1"/>
    <col min="6" max="6" width="13" style="192" customWidth="1"/>
    <col min="7" max="7" width="14.140625" style="192" customWidth="1"/>
    <col min="8" max="8" width="9.85546875" style="192" customWidth="1"/>
    <col min="9" max="16384" width="8.7109375" style="192"/>
  </cols>
  <sheetData>
    <row r="3" spans="2:7" ht="14.45" x14ac:dyDescent="0.35">
      <c r="B3" s="108" t="s">
        <v>760</v>
      </c>
    </row>
    <row r="4" spans="2:7" thickBot="1" x14ac:dyDescent="0.4"/>
    <row r="5" spans="2:7" ht="44.1" thickBot="1" x14ac:dyDescent="0.4">
      <c r="B5" s="103" t="s">
        <v>761</v>
      </c>
      <c r="C5" s="100" t="s">
        <v>762</v>
      </c>
      <c r="D5" s="100" t="s">
        <v>1202</v>
      </c>
      <c r="E5" s="100" t="s">
        <v>1273</v>
      </c>
      <c r="F5" s="100" t="s">
        <v>763</v>
      </c>
      <c r="G5" s="100" t="s">
        <v>764</v>
      </c>
    </row>
    <row r="6" spans="2:7" ht="29.45" thickBot="1" x14ac:dyDescent="0.4">
      <c r="B6" s="166" t="s">
        <v>169</v>
      </c>
      <c r="C6" s="107" t="s">
        <v>765</v>
      </c>
      <c r="D6" s="107"/>
      <c r="E6" s="107"/>
      <c r="F6" s="107"/>
      <c r="G6" s="107"/>
    </row>
    <row r="7" spans="2:7" thickBot="1" x14ac:dyDescent="0.4">
      <c r="B7" s="166">
        <v>1</v>
      </c>
      <c r="C7" s="107"/>
      <c r="D7" s="107"/>
      <c r="E7" s="107"/>
      <c r="F7" s="107"/>
      <c r="G7" s="107"/>
    </row>
    <row r="8" spans="2:7" thickBot="1" x14ac:dyDescent="0.4">
      <c r="B8" s="166">
        <v>2</v>
      </c>
      <c r="C8" s="107"/>
      <c r="D8" s="107"/>
      <c r="E8" s="107"/>
      <c r="F8" s="107"/>
      <c r="G8" s="107"/>
    </row>
    <row r="9" spans="2:7" thickBot="1" x14ac:dyDescent="0.4">
      <c r="B9" s="166"/>
      <c r="C9" s="107" t="s">
        <v>766</v>
      </c>
      <c r="D9" s="107"/>
      <c r="E9" s="107" t="s">
        <v>1070</v>
      </c>
      <c r="F9" s="107"/>
      <c r="G9" s="107"/>
    </row>
    <row r="10" spans="2:7" thickBot="1" x14ac:dyDescent="0.4">
      <c r="B10" s="166" t="s">
        <v>170</v>
      </c>
      <c r="C10" s="107" t="s">
        <v>767</v>
      </c>
      <c r="D10" s="107"/>
      <c r="E10" s="107"/>
      <c r="F10" s="107"/>
      <c r="G10" s="107"/>
    </row>
    <row r="11" spans="2:7" thickBot="1" x14ac:dyDescent="0.4">
      <c r="B11" s="166">
        <v>1</v>
      </c>
      <c r="C11" s="107"/>
      <c r="D11" s="107"/>
      <c r="E11" s="107"/>
      <c r="F11" s="107"/>
      <c r="G11" s="107"/>
    </row>
    <row r="12" spans="2:7" thickBot="1" x14ac:dyDescent="0.4">
      <c r="B12" s="166">
        <v>2</v>
      </c>
      <c r="C12" s="107"/>
      <c r="D12" s="107"/>
      <c r="E12" s="107"/>
      <c r="F12" s="107"/>
      <c r="G12" s="107"/>
    </row>
    <row r="13" spans="2:7" thickBot="1" x14ac:dyDescent="0.4">
      <c r="B13" s="166"/>
      <c r="C13" s="107" t="s">
        <v>768</v>
      </c>
      <c r="D13" s="107"/>
      <c r="E13" s="107" t="s">
        <v>1070</v>
      </c>
      <c r="F13" s="107"/>
      <c r="G13" s="107"/>
    </row>
    <row r="14" spans="2:7" ht="29.25" customHeight="1" thickBot="1" x14ac:dyDescent="0.4">
      <c r="B14" s="166"/>
      <c r="C14" s="107" t="s">
        <v>769</v>
      </c>
      <c r="D14" s="107"/>
      <c r="E14" s="107"/>
      <c r="F14" s="107"/>
      <c r="G14" s="107"/>
    </row>
    <row r="16" spans="2:7" ht="14.45" x14ac:dyDescent="0.35">
      <c r="B16" s="192" t="s">
        <v>770</v>
      </c>
    </row>
    <row r="17" spans="2:8" ht="14.45" x14ac:dyDescent="0.35">
      <c r="B17" s="192" t="s">
        <v>771</v>
      </c>
    </row>
    <row r="18" spans="2:8" ht="14.45" x14ac:dyDescent="0.35">
      <c r="B18" s="192" t="s">
        <v>772</v>
      </c>
    </row>
    <row r="19" spans="2:8" ht="14.45" x14ac:dyDescent="0.35">
      <c r="B19" s="192" t="s">
        <v>773</v>
      </c>
    </row>
    <row r="21" spans="2:8" ht="14.45" x14ac:dyDescent="0.35">
      <c r="B21" s="108" t="s">
        <v>774</v>
      </c>
      <c r="C21" s="108"/>
    </row>
    <row r="22" spans="2:8" thickBot="1" x14ac:dyDescent="0.4">
      <c r="B22" s="108"/>
      <c r="C22" s="108" t="s">
        <v>775</v>
      </c>
    </row>
    <row r="23" spans="2:8" ht="29.45" thickBot="1" x14ac:dyDescent="0.4">
      <c r="B23" s="103" t="s">
        <v>761</v>
      </c>
      <c r="C23" s="650" t="s">
        <v>776</v>
      </c>
      <c r="D23" s="651"/>
      <c r="E23" s="650" t="s">
        <v>777</v>
      </c>
      <c r="F23" s="651"/>
      <c r="G23" s="104" t="s">
        <v>778</v>
      </c>
      <c r="H23" s="100" t="s">
        <v>779</v>
      </c>
    </row>
    <row r="24" spans="2:8" ht="29.45" thickBot="1" x14ac:dyDescent="0.4">
      <c r="B24" s="110">
        <v>1</v>
      </c>
      <c r="C24" s="672" t="s">
        <v>1142</v>
      </c>
      <c r="D24" s="673"/>
      <c r="E24" s="672" t="s">
        <v>1144</v>
      </c>
      <c r="F24" s="673"/>
      <c r="G24" s="208" t="s">
        <v>1143</v>
      </c>
      <c r="H24" s="111" t="s">
        <v>1182</v>
      </c>
    </row>
    <row r="25" spans="2:8" thickBot="1" x14ac:dyDescent="0.4">
      <c r="B25" s="110"/>
      <c r="C25" s="672"/>
      <c r="D25" s="673"/>
      <c r="E25" s="672"/>
      <c r="F25" s="673"/>
      <c r="G25" s="208"/>
      <c r="H25" s="111"/>
    </row>
    <row r="26" spans="2:8" ht="14.45" x14ac:dyDescent="0.35">
      <c r="B26" s="181"/>
      <c r="C26" s="209"/>
      <c r="D26" s="209"/>
      <c r="E26" s="209"/>
      <c r="F26" s="209"/>
      <c r="G26" s="181"/>
      <c r="H26" s="181"/>
    </row>
    <row r="27" spans="2:8" ht="14.45" x14ac:dyDescent="0.35">
      <c r="B27" s="181"/>
      <c r="C27" s="209"/>
      <c r="D27" s="209"/>
      <c r="E27" s="209"/>
      <c r="F27" s="209"/>
      <c r="G27" s="181"/>
      <c r="H27" s="181"/>
    </row>
    <row r="28" spans="2:8" ht="14.45" x14ac:dyDescent="0.35">
      <c r="B28" s="181"/>
      <c r="C28" s="209"/>
      <c r="D28" s="209"/>
      <c r="E28" s="209"/>
      <c r="F28" s="209"/>
      <c r="G28" s="181"/>
      <c r="H28" s="181"/>
    </row>
    <row r="29" spans="2:8" ht="14.45" x14ac:dyDescent="0.35">
      <c r="B29" s="181"/>
      <c r="C29" s="209"/>
      <c r="D29" s="209"/>
      <c r="E29" s="209"/>
      <c r="F29" s="209"/>
      <c r="G29" s="181"/>
      <c r="H29" s="181"/>
    </row>
    <row r="30" spans="2:8" ht="14.45" x14ac:dyDescent="0.35">
      <c r="B30" s="181"/>
      <c r="C30" s="209"/>
      <c r="D30" s="209"/>
      <c r="E30" s="209"/>
      <c r="F30" s="209"/>
      <c r="G30" s="181"/>
      <c r="H30" s="181"/>
    </row>
    <row r="31" spans="2:8" ht="14.45" x14ac:dyDescent="0.35">
      <c r="B31" s="181"/>
      <c r="C31" s="209"/>
      <c r="D31" s="209"/>
      <c r="E31" s="209"/>
      <c r="F31" s="209"/>
      <c r="G31" s="181"/>
      <c r="H31" s="181"/>
    </row>
    <row r="32" spans="2:8" ht="14.45" x14ac:dyDescent="0.35">
      <c r="B32" s="181"/>
      <c r="C32" s="209"/>
      <c r="D32" s="209"/>
      <c r="E32" s="209"/>
      <c r="F32" s="209"/>
      <c r="G32" s="181"/>
      <c r="H32" s="181"/>
    </row>
    <row r="33" spans="2:8" ht="14.45" x14ac:dyDescent="0.35">
      <c r="B33" s="181"/>
      <c r="C33" s="209"/>
      <c r="D33" s="209"/>
      <c r="E33" s="209"/>
      <c r="F33" s="209"/>
      <c r="G33" s="181"/>
      <c r="H33" s="181"/>
    </row>
    <row r="34" spans="2:8" ht="14.45" x14ac:dyDescent="0.35">
      <c r="B34" s="181"/>
      <c r="C34" s="209"/>
      <c r="D34" s="209"/>
      <c r="E34" s="209"/>
      <c r="F34" s="209"/>
      <c r="G34" s="181"/>
      <c r="H34" s="181"/>
    </row>
    <row r="35" spans="2:8" ht="14.45" x14ac:dyDescent="0.35">
      <c r="B35" s="181"/>
      <c r="C35" s="209"/>
      <c r="D35" s="209"/>
      <c r="E35" s="209"/>
      <c r="F35" s="209"/>
      <c r="G35" s="181"/>
      <c r="H35" s="181"/>
    </row>
    <row r="36" spans="2:8" ht="14.45" x14ac:dyDescent="0.35">
      <c r="B36" s="181"/>
      <c r="C36" s="209"/>
      <c r="D36" s="209"/>
      <c r="E36" s="209"/>
      <c r="F36" s="209"/>
      <c r="G36" s="181"/>
      <c r="H36" s="181"/>
    </row>
    <row r="37" spans="2:8" ht="14.45" x14ac:dyDescent="0.35">
      <c r="B37" s="181"/>
      <c r="C37" s="209"/>
      <c r="D37" s="209"/>
      <c r="E37" s="209"/>
      <c r="F37" s="209"/>
      <c r="G37" s="181"/>
      <c r="H37" s="181"/>
    </row>
    <row r="38" spans="2:8" ht="14.45" x14ac:dyDescent="0.35">
      <c r="B38" s="181"/>
      <c r="C38" s="209"/>
      <c r="D38" s="209"/>
      <c r="E38" s="209"/>
      <c r="F38" s="209"/>
      <c r="G38" s="181"/>
      <c r="H38" s="181"/>
    </row>
    <row r="39" spans="2:8" ht="14.45" x14ac:dyDescent="0.35">
      <c r="B39" s="181"/>
      <c r="C39" s="209"/>
      <c r="D39" s="209"/>
      <c r="E39" s="209"/>
      <c r="F39" s="209"/>
      <c r="G39" s="181"/>
      <c r="H39" s="181"/>
    </row>
    <row r="40" spans="2:8" ht="14.45" x14ac:dyDescent="0.35">
      <c r="B40" s="181"/>
      <c r="C40" s="209"/>
      <c r="D40" s="209"/>
      <c r="E40" s="209"/>
      <c r="F40" s="209"/>
      <c r="G40" s="181"/>
      <c r="H40" s="181"/>
    </row>
    <row r="41" spans="2:8" ht="14.45" x14ac:dyDescent="0.35">
      <c r="B41" s="181"/>
      <c r="C41" s="209"/>
      <c r="D41" s="209"/>
      <c r="E41" s="209"/>
      <c r="F41" s="209"/>
      <c r="G41" s="181"/>
      <c r="H41" s="181"/>
    </row>
    <row r="42" spans="2:8" ht="14.45" x14ac:dyDescent="0.35">
      <c r="B42" s="181"/>
      <c r="C42" s="209"/>
      <c r="D42" s="209"/>
      <c r="E42" s="209"/>
      <c r="F42" s="209"/>
      <c r="G42" s="181"/>
      <c r="H42" s="181"/>
    </row>
    <row r="46" spans="2:8" x14ac:dyDescent="0.25">
      <c r="B46" s="108" t="s">
        <v>1274</v>
      </c>
    </row>
    <row r="47" spans="2:8" x14ac:dyDescent="0.25">
      <c r="B47" s="108" t="s">
        <v>1187</v>
      </c>
    </row>
    <row r="48" spans="2:8" ht="14.45" x14ac:dyDescent="0.35">
      <c r="B48" s="351" t="s">
        <v>780</v>
      </c>
      <c r="C48" s="680" t="s">
        <v>781</v>
      </c>
      <c r="D48" s="681"/>
      <c r="E48" s="682" t="s">
        <v>782</v>
      </c>
      <c r="F48" s="682"/>
      <c r="G48" s="682"/>
      <c r="H48" s="683"/>
    </row>
    <row r="49" spans="2:8" ht="14.45" x14ac:dyDescent="0.35">
      <c r="B49" s="318"/>
      <c r="C49" s="318"/>
      <c r="D49" s="352"/>
      <c r="E49" s="571" t="s">
        <v>783</v>
      </c>
      <c r="F49" s="571"/>
      <c r="G49" s="571" t="s">
        <v>784</v>
      </c>
      <c r="H49" s="684"/>
    </row>
    <row r="50" spans="2:8" thickBot="1" x14ac:dyDescent="0.4">
      <c r="B50" s="210" t="s">
        <v>169</v>
      </c>
      <c r="C50" s="685" t="s">
        <v>785</v>
      </c>
      <c r="D50" s="686"/>
      <c r="E50" s="686"/>
      <c r="F50" s="686"/>
      <c r="G50" s="686"/>
      <c r="H50" s="687"/>
    </row>
    <row r="51" spans="2:8" thickBot="1" x14ac:dyDescent="0.4">
      <c r="B51" s="211">
        <v>1</v>
      </c>
      <c r="C51" s="648" t="s">
        <v>1186</v>
      </c>
      <c r="D51" s="649"/>
      <c r="E51" s="655">
        <v>27</v>
      </c>
      <c r="F51" s="656"/>
      <c r="G51" s="655">
        <v>13</v>
      </c>
      <c r="H51" s="656"/>
    </row>
    <row r="52" spans="2:8" thickBot="1" x14ac:dyDescent="0.4">
      <c r="B52" s="211">
        <v>2</v>
      </c>
      <c r="C52" s="655"/>
      <c r="D52" s="656"/>
      <c r="E52" s="655"/>
      <c r="F52" s="656"/>
      <c r="G52" s="655"/>
      <c r="H52" s="656"/>
    </row>
    <row r="53" spans="2:8" thickBot="1" x14ac:dyDescent="0.4">
      <c r="B53" s="210" t="s">
        <v>170</v>
      </c>
      <c r="C53" s="677" t="s">
        <v>786</v>
      </c>
      <c r="D53" s="678"/>
      <c r="E53" s="678"/>
      <c r="F53" s="678"/>
      <c r="G53" s="678"/>
      <c r="H53" s="679"/>
    </row>
    <row r="54" spans="2:8" thickBot="1" x14ac:dyDescent="0.4">
      <c r="B54" s="211">
        <v>1</v>
      </c>
      <c r="C54" s="655"/>
      <c r="D54" s="656"/>
      <c r="E54" s="655"/>
      <c r="F54" s="656"/>
      <c r="G54" s="655"/>
      <c r="H54" s="656"/>
    </row>
    <row r="55" spans="2:8" thickBot="1" x14ac:dyDescent="0.4">
      <c r="B55" s="211">
        <v>2</v>
      </c>
      <c r="C55" s="655"/>
      <c r="D55" s="656"/>
      <c r="E55" s="655"/>
      <c r="F55" s="656"/>
      <c r="G55" s="655"/>
      <c r="H55" s="656"/>
    </row>
    <row r="56" spans="2:8" thickBot="1" x14ac:dyDescent="0.4">
      <c r="B56" s="210" t="s">
        <v>171</v>
      </c>
      <c r="C56" s="677" t="s">
        <v>787</v>
      </c>
      <c r="D56" s="678"/>
      <c r="E56" s="678"/>
      <c r="F56" s="678"/>
      <c r="G56" s="678"/>
      <c r="H56" s="679"/>
    </row>
    <row r="57" spans="2:8" thickBot="1" x14ac:dyDescent="0.4">
      <c r="B57" s="211">
        <v>1</v>
      </c>
      <c r="C57" s="655"/>
      <c r="D57" s="656"/>
      <c r="E57" s="655"/>
      <c r="F57" s="656"/>
      <c r="G57" s="655"/>
      <c r="H57" s="656"/>
    </row>
    <row r="58" spans="2:8" thickBot="1" x14ac:dyDescent="0.4">
      <c r="B58" s="211">
        <v>2</v>
      </c>
      <c r="C58" s="655"/>
      <c r="D58" s="656"/>
      <c r="E58" s="655"/>
      <c r="F58" s="656"/>
      <c r="G58" s="655"/>
      <c r="H58" s="656"/>
    </row>
    <row r="59" spans="2:8" thickBot="1" x14ac:dyDescent="0.4">
      <c r="B59" s="210" t="s">
        <v>172</v>
      </c>
      <c r="C59" s="677" t="s">
        <v>788</v>
      </c>
      <c r="D59" s="678"/>
      <c r="E59" s="678"/>
      <c r="F59" s="678"/>
      <c r="G59" s="678"/>
      <c r="H59" s="679"/>
    </row>
    <row r="60" spans="2:8" thickBot="1" x14ac:dyDescent="0.4">
      <c r="B60" s="211">
        <v>1</v>
      </c>
      <c r="C60" s="655"/>
      <c r="D60" s="656"/>
      <c r="E60" s="655"/>
      <c r="F60" s="656"/>
      <c r="G60" s="655"/>
      <c r="H60" s="656"/>
    </row>
    <row r="61" spans="2:8" thickBot="1" x14ac:dyDescent="0.4">
      <c r="B61" s="211">
        <v>2</v>
      </c>
      <c r="C61" s="655"/>
      <c r="D61" s="656"/>
      <c r="E61" s="655"/>
      <c r="F61" s="656"/>
      <c r="G61" s="655"/>
      <c r="H61" s="656"/>
    </row>
    <row r="62" spans="2:8" thickBot="1" x14ac:dyDescent="0.4">
      <c r="B62" s="210" t="s">
        <v>789</v>
      </c>
      <c r="C62" s="677" t="s">
        <v>790</v>
      </c>
      <c r="D62" s="678"/>
      <c r="E62" s="678"/>
      <c r="F62" s="678"/>
      <c r="G62" s="678"/>
      <c r="H62" s="679"/>
    </row>
    <row r="63" spans="2:8" thickBot="1" x14ac:dyDescent="0.4">
      <c r="B63" s="211">
        <v>1</v>
      </c>
      <c r="C63" s="655"/>
      <c r="D63" s="656"/>
      <c r="E63" s="655"/>
      <c r="F63" s="656"/>
      <c r="G63" s="655"/>
      <c r="H63" s="656"/>
    </row>
    <row r="64" spans="2:8" ht="14.45" x14ac:dyDescent="0.35">
      <c r="B64" s="212">
        <v>2</v>
      </c>
      <c r="C64" s="655"/>
      <c r="D64" s="656"/>
      <c r="E64" s="655"/>
      <c r="F64" s="656"/>
      <c r="G64" s="655"/>
      <c r="H64" s="656"/>
    </row>
    <row r="66" spans="2:8" x14ac:dyDescent="0.25">
      <c r="B66" s="327" t="s">
        <v>1275</v>
      </c>
    </row>
    <row r="67" spans="2:8" thickBot="1" x14ac:dyDescent="0.4"/>
    <row r="68" spans="2:8" ht="44.1" thickBot="1" x14ac:dyDescent="0.4">
      <c r="B68" s="669" t="s">
        <v>791</v>
      </c>
      <c r="C68" s="671"/>
      <c r="D68" s="671"/>
      <c r="E68" s="670"/>
      <c r="F68" s="200" t="s">
        <v>1183</v>
      </c>
      <c r="G68" s="200" t="s">
        <v>1184</v>
      </c>
      <c r="H68" s="200" t="s">
        <v>1185</v>
      </c>
    </row>
    <row r="69" spans="2:8" thickBot="1" x14ac:dyDescent="0.4">
      <c r="B69" s="669" t="s">
        <v>792</v>
      </c>
      <c r="C69" s="671"/>
      <c r="D69" s="671"/>
      <c r="E69" s="671"/>
      <c r="F69" s="312">
        <v>5</v>
      </c>
      <c r="G69" s="312">
        <v>0</v>
      </c>
      <c r="H69" s="312">
        <v>0</v>
      </c>
    </row>
    <row r="71" spans="2:8" ht="14.45" x14ac:dyDescent="0.35">
      <c r="B71" s="192" t="s">
        <v>793</v>
      </c>
    </row>
    <row r="72" spans="2:8" x14ac:dyDescent="0.25">
      <c r="B72" s="192" t="s">
        <v>794</v>
      </c>
    </row>
    <row r="73" spans="2:8" ht="14.45" x14ac:dyDescent="0.35">
      <c r="B73" s="192" t="s">
        <v>795</v>
      </c>
    </row>
    <row r="74" spans="2:8" ht="14.45" x14ac:dyDescent="0.35">
      <c r="B74" s="192" t="s">
        <v>796</v>
      </c>
    </row>
  </sheetData>
  <mergeCells count="47">
    <mergeCell ref="C51:D51"/>
    <mergeCell ref="E51:F51"/>
    <mergeCell ref="G51:H51"/>
    <mergeCell ref="C23:D23"/>
    <mergeCell ref="E23:F23"/>
    <mergeCell ref="C24:D24"/>
    <mergeCell ref="E24:F24"/>
    <mergeCell ref="C25:D25"/>
    <mergeCell ref="E25:F25"/>
    <mergeCell ref="C48:D48"/>
    <mergeCell ref="E48:H48"/>
    <mergeCell ref="E49:F49"/>
    <mergeCell ref="G49:H49"/>
    <mergeCell ref="C50:H50"/>
    <mergeCell ref="C52:D52"/>
    <mergeCell ref="E52:F52"/>
    <mergeCell ref="G52:H52"/>
    <mergeCell ref="C53:H53"/>
    <mergeCell ref="C54:D54"/>
    <mergeCell ref="E54:F54"/>
    <mergeCell ref="G54:H54"/>
    <mergeCell ref="C55:D55"/>
    <mergeCell ref="E55:F55"/>
    <mergeCell ref="G55:H55"/>
    <mergeCell ref="C56:H56"/>
    <mergeCell ref="C57:D57"/>
    <mergeCell ref="E57:F57"/>
    <mergeCell ref="G57:H57"/>
    <mergeCell ref="C58:D58"/>
    <mergeCell ref="E58:F58"/>
    <mergeCell ref="G58:H58"/>
    <mergeCell ref="C59:H59"/>
    <mergeCell ref="C60:D60"/>
    <mergeCell ref="E60:F60"/>
    <mergeCell ref="G60:H60"/>
    <mergeCell ref="C61:D61"/>
    <mergeCell ref="E61:F61"/>
    <mergeCell ref="G61:H61"/>
    <mergeCell ref="C62:H62"/>
    <mergeCell ref="C63:D63"/>
    <mergeCell ref="E63:F63"/>
    <mergeCell ref="G63:H63"/>
    <mergeCell ref="C64:D64"/>
    <mergeCell ref="E64:F64"/>
    <mergeCell ref="G64:H64"/>
    <mergeCell ref="B68:E68"/>
    <mergeCell ref="B69:E69"/>
  </mergeCells>
  <pageMargins left="0.15" right="0.15"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59"/>
  <sheetViews>
    <sheetView topLeftCell="A73" zoomScale="115" zoomScaleNormal="115" workbookViewId="0">
      <selection activeCell="B54" sqref="B54:I59"/>
    </sheetView>
  </sheetViews>
  <sheetFormatPr defaultColWidth="8.7109375" defaultRowHeight="15" x14ac:dyDescent="0.25"/>
  <cols>
    <col min="1" max="1" width="3.7109375" style="192" customWidth="1"/>
    <col min="2" max="2" width="4.7109375" style="192" customWidth="1"/>
    <col min="3" max="3" width="8.7109375" style="192"/>
    <col min="4" max="4" width="14.85546875" style="192" customWidth="1"/>
    <col min="5" max="5" width="14.28515625" style="192" customWidth="1"/>
    <col min="6" max="6" width="9.140625" style="192" customWidth="1"/>
    <col min="7" max="7" width="15" style="192" customWidth="1"/>
    <col min="8" max="8" width="15.7109375" style="192" customWidth="1"/>
    <col min="9" max="9" width="16.85546875" style="192" customWidth="1"/>
    <col min="10" max="16384" width="8.7109375" style="192"/>
  </cols>
  <sheetData>
    <row r="3" spans="2:9" x14ac:dyDescent="0.25">
      <c r="B3" s="108" t="s">
        <v>797</v>
      </c>
    </row>
    <row r="4" spans="2:9" thickBot="1" x14ac:dyDescent="0.4">
      <c r="B4" s="192" t="s">
        <v>798</v>
      </c>
    </row>
    <row r="5" spans="2:9" ht="119.25" customHeight="1" x14ac:dyDescent="0.25">
      <c r="B5" s="688" t="s">
        <v>383</v>
      </c>
      <c r="C5" s="688" t="s">
        <v>387</v>
      </c>
      <c r="D5" s="688" t="s">
        <v>799</v>
      </c>
      <c r="E5" s="688" t="s">
        <v>800</v>
      </c>
      <c r="F5" s="688" t="s">
        <v>801</v>
      </c>
      <c r="G5" s="688" t="s">
        <v>802</v>
      </c>
      <c r="H5" s="688" t="s">
        <v>803</v>
      </c>
      <c r="I5" s="688" t="s">
        <v>804</v>
      </c>
    </row>
    <row r="6" spans="2:9" x14ac:dyDescent="0.25">
      <c r="B6" s="689"/>
      <c r="C6" s="689"/>
      <c r="D6" s="689"/>
      <c r="E6" s="689"/>
      <c r="F6" s="689"/>
      <c r="G6" s="689"/>
      <c r="H6" s="689"/>
      <c r="I6" s="689"/>
    </row>
    <row r="7" spans="2:9" ht="14.45" x14ac:dyDescent="0.35">
      <c r="B7" s="312">
        <v>1</v>
      </c>
      <c r="C7" s="312" t="s">
        <v>1063</v>
      </c>
      <c r="D7" s="312">
        <f>+(Grain!D20+Grain!D35)/2.5</f>
        <v>648.38400000000013</v>
      </c>
      <c r="E7" s="312">
        <f>+Grain!E20*2.5</f>
        <v>20</v>
      </c>
      <c r="F7" s="312">
        <f>+D7*E7</f>
        <v>12967.680000000002</v>
      </c>
      <c r="G7" s="312">
        <f>+F7*0.9</f>
        <v>11670.912000000002</v>
      </c>
      <c r="H7" s="348">
        <f>+G7*Grain!B72</f>
        <v>350.12736000000007</v>
      </c>
      <c r="I7" s="312"/>
    </row>
    <row r="8" spans="2:9" ht="14.45" x14ac:dyDescent="0.35">
      <c r="B8" s="312"/>
      <c r="C8" s="312"/>
      <c r="D8" s="312"/>
      <c r="E8" s="312"/>
      <c r="F8" s="312"/>
      <c r="G8" s="312"/>
      <c r="H8" s="228" t="s">
        <v>1203</v>
      </c>
      <c r="I8" s="312"/>
    </row>
    <row r="9" spans="2:9" ht="14.45" x14ac:dyDescent="0.35">
      <c r="B9" s="325" t="s">
        <v>1214</v>
      </c>
      <c r="C9" s="325"/>
    </row>
    <row r="10" spans="2:9" ht="14.45" x14ac:dyDescent="0.35">
      <c r="B10" s="325"/>
      <c r="C10" s="325" t="s">
        <v>1215</v>
      </c>
    </row>
    <row r="11" spans="2:9" ht="14.45" x14ac:dyDescent="0.35">
      <c r="B11" s="325"/>
      <c r="C11" s="325"/>
    </row>
    <row r="12" spans="2:9" x14ac:dyDescent="0.25">
      <c r="B12" s="192" t="s">
        <v>1317</v>
      </c>
    </row>
    <row r="13" spans="2:9" thickBot="1" x14ac:dyDescent="0.4"/>
    <row r="14" spans="2:9" ht="60.75" thickBot="1" x14ac:dyDescent="0.3">
      <c r="B14" s="193" t="s">
        <v>383</v>
      </c>
      <c r="C14" s="194" t="s">
        <v>805</v>
      </c>
      <c r="D14" s="194"/>
      <c r="E14" s="194" t="s">
        <v>806</v>
      </c>
      <c r="F14" s="349"/>
      <c r="G14" s="349"/>
    </row>
    <row r="15" spans="2:9" ht="29.45" thickBot="1" x14ac:dyDescent="0.4">
      <c r="B15" s="166">
        <v>1</v>
      </c>
      <c r="C15" s="107" t="s">
        <v>807</v>
      </c>
      <c r="D15" s="114"/>
      <c r="E15" s="114"/>
    </row>
    <row r="16" spans="2:9" thickBot="1" x14ac:dyDescent="0.4">
      <c r="B16" s="166">
        <v>2</v>
      </c>
      <c r="C16" s="107" t="s">
        <v>808</v>
      </c>
      <c r="D16" s="114"/>
      <c r="E16" s="114"/>
    </row>
    <row r="17" spans="2:5" ht="44.1" thickBot="1" x14ac:dyDescent="0.4">
      <c r="B17" s="166">
        <v>3</v>
      </c>
      <c r="C17" s="107" t="s">
        <v>1272</v>
      </c>
      <c r="D17" s="114"/>
      <c r="E17" s="114"/>
    </row>
    <row r="18" spans="2:5" ht="72.95" thickBot="1" x14ac:dyDescent="0.4">
      <c r="B18" s="166">
        <v>4</v>
      </c>
      <c r="C18" s="107" t="s">
        <v>809</v>
      </c>
      <c r="D18" s="114"/>
      <c r="E18" s="114"/>
    </row>
    <row r="19" spans="2:5" ht="44.1" thickBot="1" x14ac:dyDescent="0.4">
      <c r="B19" s="166">
        <v>5</v>
      </c>
      <c r="C19" s="107" t="s">
        <v>1145</v>
      </c>
      <c r="D19" s="107"/>
      <c r="E19" s="107">
        <v>20</v>
      </c>
    </row>
    <row r="22" spans="2:5" ht="14.45" x14ac:dyDescent="0.35">
      <c r="B22" s="108" t="s">
        <v>810</v>
      </c>
    </row>
    <row r="23" spans="2:5" x14ac:dyDescent="0.25">
      <c r="B23" s="192" t="s">
        <v>811</v>
      </c>
    </row>
    <row r="24" spans="2:5" ht="14.45" x14ac:dyDescent="0.35">
      <c r="B24" s="192" t="s">
        <v>812</v>
      </c>
    </row>
    <row r="26" spans="2:5" ht="14.45" x14ac:dyDescent="0.35">
      <c r="C26" s="108" t="s">
        <v>1146</v>
      </c>
    </row>
    <row r="27" spans="2:5" ht="14.45" x14ac:dyDescent="0.35">
      <c r="C27" s="108" t="s">
        <v>1208</v>
      </c>
    </row>
    <row r="28" spans="2:5" ht="14.45" x14ac:dyDescent="0.35">
      <c r="C28" s="108"/>
    </row>
    <row r="29" spans="2:5" ht="14.45" x14ac:dyDescent="0.35">
      <c r="C29" s="108"/>
    </row>
    <row r="30" spans="2:5" ht="14.45" x14ac:dyDescent="0.35">
      <c r="C30" s="108"/>
    </row>
    <row r="31" spans="2:5" ht="14.45" x14ac:dyDescent="0.35">
      <c r="C31" s="108"/>
    </row>
    <row r="33" spans="2:5" ht="14.45" x14ac:dyDescent="0.35">
      <c r="B33" s="192" t="s">
        <v>813</v>
      </c>
    </row>
    <row r="34" spans="2:5" ht="14.45" x14ac:dyDescent="0.35">
      <c r="C34" s="192" t="s">
        <v>814</v>
      </c>
    </row>
    <row r="35" spans="2:5" ht="14.45" x14ac:dyDescent="0.35">
      <c r="E35" s="192" t="s">
        <v>1147</v>
      </c>
    </row>
    <row r="37" spans="2:5" ht="14.45" x14ac:dyDescent="0.35">
      <c r="B37" s="192" t="s">
        <v>815</v>
      </c>
    </row>
    <row r="38" spans="2:5" ht="14.45" x14ac:dyDescent="0.35">
      <c r="B38" s="192">
        <v>1</v>
      </c>
    </row>
    <row r="39" spans="2:5" ht="14.45" x14ac:dyDescent="0.35">
      <c r="B39" s="192">
        <v>2</v>
      </c>
      <c r="E39" s="192" t="s">
        <v>1147</v>
      </c>
    </row>
    <row r="40" spans="2:5" ht="14.45" x14ac:dyDescent="0.35">
      <c r="B40" s="192">
        <v>3</v>
      </c>
    </row>
    <row r="43" spans="2:5" ht="14.45" x14ac:dyDescent="0.35">
      <c r="B43" s="192" t="s">
        <v>816</v>
      </c>
    </row>
    <row r="44" spans="2:5" ht="14.45" x14ac:dyDescent="0.35">
      <c r="B44" s="192">
        <v>1</v>
      </c>
    </row>
    <row r="45" spans="2:5" ht="14.45" x14ac:dyDescent="0.35">
      <c r="B45" s="192">
        <v>2</v>
      </c>
      <c r="E45" s="192" t="s">
        <v>1147</v>
      </c>
    </row>
    <row r="46" spans="2:5" ht="14.45" x14ac:dyDescent="0.35">
      <c r="B46" s="192">
        <v>3</v>
      </c>
    </row>
    <row r="50" spans="2:9" ht="14.45" x14ac:dyDescent="0.35">
      <c r="B50" s="108" t="s">
        <v>1318</v>
      </c>
    </row>
    <row r="51" spans="2:9" ht="14.45" x14ac:dyDescent="0.35">
      <c r="B51" s="192" t="s">
        <v>817</v>
      </c>
    </row>
    <row r="54" spans="2:9" ht="15.75" thickBot="1" x14ac:dyDescent="0.3">
      <c r="B54" s="192" t="s">
        <v>1319</v>
      </c>
    </row>
    <row r="55" spans="2:9" ht="29.45" thickBot="1" x14ac:dyDescent="0.4">
      <c r="B55" s="196" t="s">
        <v>383</v>
      </c>
      <c r="C55" s="653" t="s">
        <v>818</v>
      </c>
      <c r="D55" s="690"/>
      <c r="E55" s="184" t="s">
        <v>715</v>
      </c>
      <c r="F55" s="197"/>
      <c r="G55" s="198" t="s">
        <v>819</v>
      </c>
      <c r="H55" s="199" t="s">
        <v>820</v>
      </c>
      <c r="I55" s="200" t="s">
        <v>821</v>
      </c>
    </row>
    <row r="56" spans="2:9" ht="15" customHeight="1" x14ac:dyDescent="0.35">
      <c r="B56" s="201">
        <v>1</v>
      </c>
      <c r="C56" s="328" t="s">
        <v>1149</v>
      </c>
      <c r="D56" s="202"/>
      <c r="E56" s="315" t="s">
        <v>1151</v>
      </c>
      <c r="F56" s="181"/>
      <c r="G56" s="329" t="s">
        <v>1153</v>
      </c>
      <c r="H56" s="350" t="s">
        <v>1159</v>
      </c>
      <c r="I56" s="203" t="s">
        <v>1154</v>
      </c>
    </row>
    <row r="57" spans="2:9" ht="15.75" customHeight="1" thickBot="1" x14ac:dyDescent="0.4">
      <c r="B57" s="177"/>
      <c r="C57" s="318" t="s">
        <v>1150</v>
      </c>
      <c r="D57" s="204"/>
      <c r="E57" s="318" t="s">
        <v>1152</v>
      </c>
      <c r="F57" s="204"/>
      <c r="G57" s="205">
        <v>9096388195</v>
      </c>
      <c r="H57" s="204"/>
      <c r="I57" s="206"/>
    </row>
    <row r="58" spans="2:9" ht="15" customHeight="1" x14ac:dyDescent="0.35">
      <c r="B58" s="201">
        <v>2</v>
      </c>
      <c r="C58" s="328" t="s">
        <v>1155</v>
      </c>
      <c r="D58" s="181"/>
      <c r="E58" s="315" t="s">
        <v>1156</v>
      </c>
      <c r="F58" s="181"/>
      <c r="G58" s="316" t="s">
        <v>1158</v>
      </c>
      <c r="H58" s="350" t="s">
        <v>1160</v>
      </c>
      <c r="I58" s="203" t="s">
        <v>1154</v>
      </c>
    </row>
    <row r="59" spans="2:9" ht="15.75" customHeight="1" thickBot="1" x14ac:dyDescent="0.4">
      <c r="B59" s="177"/>
      <c r="C59" s="207"/>
      <c r="D59" s="204"/>
      <c r="E59" s="318" t="s">
        <v>1157</v>
      </c>
      <c r="F59" s="204"/>
      <c r="G59" s="319">
        <v>7259120744</v>
      </c>
      <c r="H59" s="204"/>
      <c r="I59" s="205"/>
    </row>
  </sheetData>
  <mergeCells count="9">
    <mergeCell ref="H5:H6"/>
    <mergeCell ref="I5:I6"/>
    <mergeCell ref="G5:G6"/>
    <mergeCell ref="C55:D55"/>
    <mergeCell ref="B5:B6"/>
    <mergeCell ref="C5:C6"/>
    <mergeCell ref="D5:D6"/>
    <mergeCell ref="E5:E6"/>
    <mergeCell ref="F5:F6"/>
  </mergeCells>
  <hyperlinks>
    <hyperlink ref="H56" r:id="rId1"/>
    <hyperlink ref="H58" r:id="rId2"/>
  </hyperlinks>
  <pageMargins left="0.16" right="0.15" top="0.75" bottom="0.75" header="0.3" footer="0.3"/>
  <pageSetup orientation="portrait"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11"/>
  <sheetViews>
    <sheetView topLeftCell="A10" zoomScale="130" zoomScaleNormal="130" workbookViewId="0">
      <selection activeCell="C8" sqref="C8"/>
    </sheetView>
  </sheetViews>
  <sheetFormatPr defaultColWidth="8.7109375" defaultRowHeight="15" x14ac:dyDescent="0.25"/>
  <cols>
    <col min="1" max="1" width="8.7109375" style="192"/>
    <col min="2" max="2" width="5" style="192" customWidth="1"/>
    <col min="3" max="3" width="11.28515625" style="192" customWidth="1"/>
    <col min="4" max="4" width="10.85546875" style="192" bestFit="1" customWidth="1"/>
    <col min="5" max="5" width="11.5703125" style="192" bestFit="1" customWidth="1"/>
    <col min="6" max="6" width="9.85546875" style="192" bestFit="1" customWidth="1"/>
    <col min="7" max="9" width="11.5703125" style="192" bestFit="1" customWidth="1"/>
    <col min="10" max="10" width="11.85546875" style="192" bestFit="1" customWidth="1"/>
    <col min="11" max="11" width="11.5703125" style="192" bestFit="1" customWidth="1"/>
    <col min="12" max="12" width="11.85546875" style="192" bestFit="1" customWidth="1"/>
    <col min="13" max="13" width="8.85546875" style="192" bestFit="1" customWidth="1"/>
    <col min="14" max="16384" width="8.7109375" style="192"/>
  </cols>
  <sheetData>
    <row r="3" spans="2:13" x14ac:dyDescent="0.25">
      <c r="B3" s="327" t="s">
        <v>1271</v>
      </c>
    </row>
    <row r="4" spans="2:13" thickBot="1" x14ac:dyDescent="0.4"/>
    <row r="5" spans="2:13" ht="15.75" thickBot="1" x14ac:dyDescent="0.3">
      <c r="B5" s="659" t="s">
        <v>822</v>
      </c>
      <c r="C5" s="186"/>
      <c r="D5" s="650" t="s">
        <v>823</v>
      </c>
      <c r="E5" s="652"/>
      <c r="F5" s="652"/>
      <c r="G5" s="652"/>
      <c r="H5" s="652"/>
      <c r="I5" s="652"/>
      <c r="J5" s="652"/>
      <c r="K5" s="652"/>
      <c r="L5" s="652"/>
      <c r="M5" s="651"/>
    </row>
    <row r="6" spans="2:13" ht="30.75" thickBot="1" x14ac:dyDescent="0.3">
      <c r="B6" s="660"/>
      <c r="C6" s="187" t="s">
        <v>824</v>
      </c>
      <c r="D6" s="650" t="s">
        <v>842</v>
      </c>
      <c r="E6" s="651"/>
      <c r="F6" s="650" t="s">
        <v>843</v>
      </c>
      <c r="G6" s="651"/>
      <c r="H6" s="650" t="s">
        <v>844</v>
      </c>
      <c r="I6" s="651"/>
      <c r="J6" s="650" t="s">
        <v>845</v>
      </c>
      <c r="K6" s="651"/>
      <c r="L6" s="650" t="s">
        <v>846</v>
      </c>
      <c r="M6" s="651"/>
    </row>
    <row r="7" spans="2:13" ht="30.75" thickBot="1" x14ac:dyDescent="0.3">
      <c r="B7" s="661"/>
      <c r="C7" s="102"/>
      <c r="D7" s="114" t="s">
        <v>825</v>
      </c>
      <c r="E7" s="114" t="s">
        <v>444</v>
      </c>
      <c r="F7" s="114" t="s">
        <v>825</v>
      </c>
      <c r="G7" s="114" t="s">
        <v>444</v>
      </c>
      <c r="H7" s="114" t="s">
        <v>825</v>
      </c>
      <c r="I7" s="114" t="s">
        <v>444</v>
      </c>
      <c r="J7" s="114" t="s">
        <v>825</v>
      </c>
      <c r="K7" s="114" t="s">
        <v>444</v>
      </c>
      <c r="L7" s="114" t="s">
        <v>825</v>
      </c>
      <c r="M7" s="114" t="s">
        <v>444</v>
      </c>
    </row>
    <row r="8" spans="2:13" ht="45.75" thickBot="1" x14ac:dyDescent="0.3">
      <c r="B8" s="188">
        <v>1</v>
      </c>
      <c r="C8" s="102" t="s">
        <v>847</v>
      </c>
      <c r="D8" s="107">
        <f>(+Grain!B80+Grain!B92)/10</f>
        <v>38.514009600000009</v>
      </c>
      <c r="E8" s="189">
        <f>+D8*$M$8/$L$8</f>
        <v>0.03</v>
      </c>
      <c r="F8" s="190">
        <f>(+Grain!C80+Grain!C92)/10</f>
        <v>41.08161024000001</v>
      </c>
      <c r="G8" s="189">
        <f>+F8*$M$8/$L$8</f>
        <v>3.2000000000000001E-2</v>
      </c>
      <c r="H8" s="191">
        <f>+(Grain!D80+Grain!D92)/10</f>
        <v>43.649210880000012</v>
      </c>
      <c r="I8" s="189">
        <f>+H8*$M$8/$L$8</f>
        <v>3.4000000000000002E-2</v>
      </c>
      <c r="J8" s="107">
        <f>+(Grain!E80+Grain!E92)/10</f>
        <v>46.216811520000014</v>
      </c>
      <c r="K8" s="189">
        <f>+J8*$M$8/$L$8</f>
        <v>3.6000000000000004E-2</v>
      </c>
      <c r="L8" s="107">
        <f>+(Grain!F80+Grain!F92)/10</f>
        <v>48.784412160000016</v>
      </c>
      <c r="M8" s="189">
        <f>+Grain!F72</f>
        <v>3.8000000000000006E-2</v>
      </c>
    </row>
    <row r="9" spans="2:13" thickBot="1" x14ac:dyDescent="0.4">
      <c r="B9" s="188"/>
      <c r="C9" s="107"/>
      <c r="D9" s="107"/>
      <c r="E9" s="107"/>
      <c r="F9" s="107"/>
      <c r="G9" s="107"/>
      <c r="H9" s="107"/>
      <c r="I9" s="107"/>
      <c r="J9" s="107"/>
      <c r="K9" s="107"/>
      <c r="L9" s="107"/>
      <c r="M9" s="107"/>
    </row>
    <row r="10" spans="2:13" thickBot="1" x14ac:dyDescent="0.4">
      <c r="B10" s="105"/>
      <c r="C10" s="107"/>
      <c r="D10" s="107"/>
      <c r="E10" s="107"/>
      <c r="F10" s="107"/>
      <c r="G10" s="107"/>
      <c r="H10" s="107"/>
      <c r="I10" s="107"/>
      <c r="J10" s="107"/>
      <c r="K10" s="107"/>
      <c r="L10" s="107"/>
      <c r="M10" s="107"/>
    </row>
    <row r="11" spans="2:13" thickBot="1" x14ac:dyDescent="0.4">
      <c r="B11" s="105"/>
      <c r="C11" s="107"/>
      <c r="D11" s="107"/>
      <c r="E11" s="107"/>
      <c r="F11" s="107"/>
      <c r="G11" s="107"/>
      <c r="H11" s="107"/>
      <c r="I11" s="107"/>
      <c r="J11" s="107"/>
      <c r="K11" s="107"/>
      <c r="L11" s="107"/>
      <c r="M11" s="107"/>
    </row>
  </sheetData>
  <mergeCells count="7">
    <mergeCell ref="B5:B7"/>
    <mergeCell ref="D5:M5"/>
    <mergeCell ref="D6:E6"/>
    <mergeCell ref="F6:G6"/>
    <mergeCell ref="H6:I6"/>
    <mergeCell ref="J6:K6"/>
    <mergeCell ref="L6:M6"/>
  </mergeCells>
  <pageMargins left="0.33" right="0.7" top="0.75" bottom="0.75" header="0.3" footer="0.3"/>
  <pageSetup paperSize="9"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4" zoomScale="70" zoomScaleNormal="70" workbookViewId="0">
      <selection activeCell="C8" sqref="C8"/>
    </sheetView>
  </sheetViews>
  <sheetFormatPr defaultColWidth="8.7109375" defaultRowHeight="15" x14ac:dyDescent="0.25"/>
  <cols>
    <col min="1" max="16384" width="8.7109375" style="192"/>
  </cols>
  <sheetData/>
  <pageMargins left="0.13" right="0.21" top="0.44" bottom="0.22" header="0.3" footer="0.17"/>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85"/>
  <sheetViews>
    <sheetView zoomScale="130" zoomScaleNormal="130" workbookViewId="0">
      <selection activeCell="C8" sqref="C8"/>
    </sheetView>
  </sheetViews>
  <sheetFormatPr defaultColWidth="8.7109375" defaultRowHeight="15" x14ac:dyDescent="0.25"/>
  <cols>
    <col min="1" max="2" width="8.7109375" style="192"/>
    <col min="3" max="3" width="27.7109375" style="192" customWidth="1"/>
    <col min="4" max="4" width="11.140625" style="192" customWidth="1"/>
    <col min="5" max="5" width="12" style="192" customWidth="1"/>
    <col min="6" max="6" width="11.140625" style="192" customWidth="1"/>
    <col min="7" max="7" width="11.85546875" style="192" customWidth="1"/>
    <col min="8" max="16384" width="8.7109375" style="192"/>
  </cols>
  <sheetData>
    <row r="3" spans="2:7" ht="14.45" x14ac:dyDescent="0.35">
      <c r="B3" s="327" t="s">
        <v>827</v>
      </c>
    </row>
    <row r="4" spans="2:7" thickBot="1" x14ac:dyDescent="0.4">
      <c r="B4" s="327" t="s">
        <v>1034</v>
      </c>
    </row>
    <row r="5" spans="2:7" ht="29.45" thickBot="1" x14ac:dyDescent="0.4">
      <c r="B5" s="99" t="s">
        <v>822</v>
      </c>
      <c r="C5" s="100" t="s">
        <v>828</v>
      </c>
      <c r="D5" s="100" t="s">
        <v>829</v>
      </c>
      <c r="E5" s="100" t="s">
        <v>830</v>
      </c>
      <c r="F5" s="100" t="s">
        <v>831</v>
      </c>
      <c r="G5" s="100" t="s">
        <v>832</v>
      </c>
    </row>
    <row r="6" spans="2:7" thickBot="1" x14ac:dyDescent="0.4">
      <c r="B6" s="166" t="s">
        <v>169</v>
      </c>
      <c r="C6" s="691" t="s">
        <v>1032</v>
      </c>
      <c r="D6" s="692"/>
      <c r="E6" s="692"/>
      <c r="F6" s="692"/>
      <c r="G6" s="693"/>
    </row>
    <row r="7" spans="2:7" thickBot="1" x14ac:dyDescent="0.4">
      <c r="B7" s="166" t="s">
        <v>833</v>
      </c>
      <c r="C7" s="107" t="s">
        <v>834</v>
      </c>
      <c r="D7" s="107"/>
      <c r="E7" s="107"/>
      <c r="F7" s="107"/>
      <c r="G7" s="107"/>
    </row>
    <row r="8" spans="2:7" thickBot="1" x14ac:dyDescent="0.4">
      <c r="B8" s="105">
        <v>1</v>
      </c>
      <c r="C8" s="107" t="s">
        <v>295</v>
      </c>
      <c r="D8" s="107" t="s">
        <v>1031</v>
      </c>
      <c r="E8" s="107"/>
      <c r="F8" s="107"/>
      <c r="G8" s="102">
        <f>+Capex!G6</f>
        <v>2360000</v>
      </c>
    </row>
    <row r="9" spans="2:7" thickBot="1" x14ac:dyDescent="0.4">
      <c r="B9" s="105"/>
      <c r="C9" s="107"/>
      <c r="D9" s="107"/>
      <c r="E9" s="107"/>
      <c r="F9" s="107"/>
      <c r="G9" s="107"/>
    </row>
    <row r="10" spans="2:7" thickBot="1" x14ac:dyDescent="0.4">
      <c r="B10" s="166" t="s">
        <v>835</v>
      </c>
      <c r="C10" s="107" t="s">
        <v>836</v>
      </c>
      <c r="D10" s="107"/>
      <c r="E10" s="107"/>
      <c r="F10" s="107"/>
      <c r="G10" s="107"/>
    </row>
    <row r="11" spans="2:7" thickBot="1" x14ac:dyDescent="0.4">
      <c r="B11" s="105"/>
      <c r="C11" s="102"/>
      <c r="D11" s="107"/>
      <c r="E11" s="102"/>
      <c r="F11" s="102"/>
      <c r="G11" s="102"/>
    </row>
    <row r="12" spans="2:7" thickBot="1" x14ac:dyDescent="0.4">
      <c r="B12" s="105"/>
      <c r="C12" s="107"/>
      <c r="D12" s="107"/>
      <c r="E12" s="107"/>
      <c r="F12" s="107"/>
      <c r="G12" s="107"/>
    </row>
    <row r="13" spans="2:7" thickBot="1" x14ac:dyDescent="0.4">
      <c r="B13" s="166" t="s">
        <v>837</v>
      </c>
      <c r="C13" s="107" t="s">
        <v>1033</v>
      </c>
      <c r="D13" s="107"/>
      <c r="E13" s="107"/>
      <c r="F13" s="107"/>
      <c r="G13" s="107"/>
    </row>
    <row r="14" spans="2:7" thickBot="1" x14ac:dyDescent="0.4">
      <c r="B14" s="105">
        <v>1</v>
      </c>
      <c r="C14" s="107"/>
      <c r="D14" s="107"/>
      <c r="E14" s="107"/>
      <c r="F14" s="107"/>
      <c r="G14" s="107"/>
    </row>
    <row r="15" spans="2:7" thickBot="1" x14ac:dyDescent="0.4">
      <c r="B15" s="105">
        <v>2</v>
      </c>
      <c r="C15" s="107"/>
      <c r="D15" s="107"/>
      <c r="E15" s="107"/>
      <c r="F15" s="107"/>
      <c r="G15" s="107"/>
    </row>
    <row r="16" spans="2:7" thickBot="1" x14ac:dyDescent="0.4">
      <c r="B16" s="105"/>
      <c r="C16" s="107" t="s">
        <v>766</v>
      </c>
      <c r="D16" s="107"/>
      <c r="E16" s="107"/>
      <c r="F16" s="107"/>
      <c r="G16" s="107">
        <f>SUM(G8:G15)</f>
        <v>2360000</v>
      </c>
    </row>
    <row r="17" spans="2:7" thickBot="1" x14ac:dyDescent="0.4">
      <c r="B17" s="166" t="s">
        <v>170</v>
      </c>
      <c r="C17" s="691" t="s">
        <v>1039</v>
      </c>
      <c r="D17" s="692"/>
      <c r="E17" s="692"/>
      <c r="F17" s="692"/>
      <c r="G17" s="693"/>
    </row>
    <row r="18" spans="2:7" thickBot="1" x14ac:dyDescent="0.4">
      <c r="B18" s="105" t="s">
        <v>648</v>
      </c>
      <c r="C18" s="107" t="s">
        <v>834</v>
      </c>
      <c r="D18" s="107"/>
      <c r="E18" s="107"/>
      <c r="F18" s="107"/>
      <c r="G18" s="107"/>
    </row>
    <row r="19" spans="2:7" ht="15.75" thickBot="1" x14ac:dyDescent="0.3">
      <c r="B19" s="105">
        <v>1</v>
      </c>
      <c r="C19" s="107" t="s">
        <v>1201</v>
      </c>
      <c r="D19" s="107"/>
      <c r="E19" s="107"/>
      <c r="F19" s="107"/>
      <c r="G19" s="102">
        <f>+Capex!G7</f>
        <v>0</v>
      </c>
    </row>
    <row r="20" spans="2:7" ht="15.75" thickBot="1" x14ac:dyDescent="0.3">
      <c r="B20" s="105">
        <v>2</v>
      </c>
      <c r="C20" s="107"/>
      <c r="D20" s="182"/>
      <c r="E20" s="182"/>
      <c r="F20" s="107"/>
      <c r="G20" s="107"/>
    </row>
    <row r="21" spans="2:7" ht="15.75" thickBot="1" x14ac:dyDescent="0.3">
      <c r="B21" s="166" t="s">
        <v>1254</v>
      </c>
      <c r="C21" s="183" t="s">
        <v>151</v>
      </c>
      <c r="D21" s="184">
        <f>+'F1'!B5/10</f>
        <v>1</v>
      </c>
      <c r="E21" s="185" t="s">
        <v>1213</v>
      </c>
      <c r="F21" s="107"/>
      <c r="G21" s="107"/>
    </row>
    <row r="22" spans="2:7" ht="15.75" thickBot="1" x14ac:dyDescent="0.3">
      <c r="B22" s="105">
        <v>1</v>
      </c>
      <c r="C22" s="102" t="s">
        <v>679</v>
      </c>
      <c r="D22" s="107"/>
      <c r="E22" s="102">
        <v>430500</v>
      </c>
      <c r="F22" s="102">
        <v>1</v>
      </c>
      <c r="G22" s="102">
        <f t="shared" ref="G22:G30" si="0">+E22*F22</f>
        <v>430500</v>
      </c>
    </row>
    <row r="23" spans="2:7" ht="15.75" thickBot="1" x14ac:dyDescent="0.3">
      <c r="B23" s="105">
        <f>+B22+1</f>
        <v>2</v>
      </c>
      <c r="C23" s="102" t="s">
        <v>680</v>
      </c>
      <c r="D23" s="107"/>
      <c r="E23" s="102">
        <v>99750</v>
      </c>
      <c r="F23" s="102">
        <v>4</v>
      </c>
      <c r="G23" s="102">
        <f t="shared" si="0"/>
        <v>399000</v>
      </c>
    </row>
    <row r="24" spans="2:7" ht="15.75" thickBot="1" x14ac:dyDescent="0.3">
      <c r="B24" s="105">
        <f t="shared" ref="B24:B36" si="1">+B23+1</f>
        <v>3</v>
      </c>
      <c r="C24" s="102" t="s">
        <v>681</v>
      </c>
      <c r="D24" s="107"/>
      <c r="E24" s="102">
        <v>435750</v>
      </c>
      <c r="F24" s="102">
        <v>1</v>
      </c>
      <c r="G24" s="102">
        <f t="shared" si="0"/>
        <v>435750</v>
      </c>
    </row>
    <row r="25" spans="2:7" ht="30.75" thickBot="1" x14ac:dyDescent="0.3">
      <c r="B25" s="105">
        <f t="shared" si="1"/>
        <v>4</v>
      </c>
      <c r="C25" s="102" t="s">
        <v>1191</v>
      </c>
      <c r="D25" s="107"/>
      <c r="E25" s="102">
        <v>246750</v>
      </c>
      <c r="F25" s="102">
        <v>2</v>
      </c>
      <c r="G25" s="102">
        <f t="shared" si="0"/>
        <v>493500</v>
      </c>
    </row>
    <row r="26" spans="2:7" ht="15.75" thickBot="1" x14ac:dyDescent="0.3">
      <c r="B26" s="105">
        <f t="shared" si="1"/>
        <v>5</v>
      </c>
      <c r="C26" s="102" t="s">
        <v>1192</v>
      </c>
      <c r="D26" s="107"/>
      <c r="E26" s="102">
        <v>462000</v>
      </c>
      <c r="F26" s="102">
        <v>1</v>
      </c>
      <c r="G26" s="102">
        <f t="shared" si="0"/>
        <v>462000</v>
      </c>
    </row>
    <row r="27" spans="2:7" ht="15.75" thickBot="1" x14ac:dyDescent="0.3">
      <c r="B27" s="105">
        <f t="shared" si="1"/>
        <v>6</v>
      </c>
      <c r="C27" s="102" t="s">
        <v>1193</v>
      </c>
      <c r="D27" s="107"/>
      <c r="E27" s="102">
        <v>147000</v>
      </c>
      <c r="F27" s="102">
        <v>1</v>
      </c>
      <c r="G27" s="102">
        <f t="shared" si="0"/>
        <v>147000</v>
      </c>
    </row>
    <row r="28" spans="2:7" ht="30.75" thickBot="1" x14ac:dyDescent="0.3">
      <c r="B28" s="105">
        <f t="shared" si="1"/>
        <v>7</v>
      </c>
      <c r="C28" s="102" t="s">
        <v>682</v>
      </c>
      <c r="D28" s="107"/>
      <c r="E28" s="102">
        <v>787500</v>
      </c>
      <c r="F28" s="102">
        <v>1</v>
      </c>
      <c r="G28" s="102">
        <f t="shared" si="0"/>
        <v>787500</v>
      </c>
    </row>
    <row r="29" spans="2:7" ht="15.75" thickBot="1" x14ac:dyDescent="0.3">
      <c r="B29" s="105">
        <f t="shared" si="1"/>
        <v>8</v>
      </c>
      <c r="C29" s="102" t="s">
        <v>683</v>
      </c>
      <c r="D29" s="107"/>
      <c r="E29" s="102">
        <v>513300</v>
      </c>
      <c r="F29" s="102">
        <v>1</v>
      </c>
      <c r="G29" s="102">
        <f t="shared" si="0"/>
        <v>513300</v>
      </c>
    </row>
    <row r="30" spans="2:7" ht="30.75" thickBot="1" x14ac:dyDescent="0.3">
      <c r="B30" s="105">
        <f t="shared" si="1"/>
        <v>9</v>
      </c>
      <c r="C30" s="102" t="s">
        <v>1229</v>
      </c>
      <c r="D30" s="107"/>
      <c r="E30" s="102">
        <v>497000</v>
      </c>
      <c r="F30" s="102">
        <v>1</v>
      </c>
      <c r="G30" s="102">
        <f t="shared" si="0"/>
        <v>497000</v>
      </c>
    </row>
    <row r="31" spans="2:7" ht="15.75" thickBot="1" x14ac:dyDescent="0.3">
      <c r="B31" s="105">
        <f t="shared" si="1"/>
        <v>10</v>
      </c>
      <c r="C31" s="102" t="s">
        <v>696</v>
      </c>
      <c r="D31" s="107"/>
      <c r="E31" s="102">
        <v>520000</v>
      </c>
      <c r="F31" s="102">
        <v>1</v>
      </c>
      <c r="G31" s="102">
        <f t="shared" ref="G31:G36" si="2">+E31*F31</f>
        <v>520000</v>
      </c>
    </row>
    <row r="32" spans="2:7" ht="30.75" thickBot="1" x14ac:dyDescent="0.3">
      <c r="B32" s="105">
        <f t="shared" si="1"/>
        <v>11</v>
      </c>
      <c r="C32" s="102" t="s">
        <v>1231</v>
      </c>
      <c r="D32" s="107"/>
      <c r="E32" s="102">
        <v>800000</v>
      </c>
      <c r="F32" s="102">
        <v>1</v>
      </c>
      <c r="G32" s="102">
        <f t="shared" si="2"/>
        <v>800000</v>
      </c>
    </row>
    <row r="33" spans="2:7" ht="15.75" thickBot="1" x14ac:dyDescent="0.3">
      <c r="B33" s="105">
        <f t="shared" si="1"/>
        <v>12</v>
      </c>
      <c r="C33" s="102" t="s">
        <v>1230</v>
      </c>
      <c r="D33" s="107"/>
      <c r="E33" s="102">
        <v>162000</v>
      </c>
      <c r="F33" s="102">
        <v>1</v>
      </c>
      <c r="G33" s="102">
        <f t="shared" si="2"/>
        <v>162000</v>
      </c>
    </row>
    <row r="34" spans="2:7" ht="15.75" thickBot="1" x14ac:dyDescent="0.3">
      <c r="B34" s="105">
        <f t="shared" si="1"/>
        <v>13</v>
      </c>
      <c r="C34" s="102" t="s">
        <v>684</v>
      </c>
      <c r="D34" s="107"/>
      <c r="E34" s="102">
        <v>18700</v>
      </c>
      <c r="F34" s="102">
        <v>1</v>
      </c>
      <c r="G34" s="102">
        <f t="shared" si="2"/>
        <v>18700</v>
      </c>
    </row>
    <row r="35" spans="2:7" ht="15.75" thickBot="1" x14ac:dyDescent="0.3">
      <c r="B35" s="105">
        <f t="shared" si="1"/>
        <v>14</v>
      </c>
      <c r="C35" s="102" t="s">
        <v>685</v>
      </c>
      <c r="D35" s="107"/>
      <c r="E35" s="102">
        <v>13600</v>
      </c>
      <c r="F35" s="102">
        <v>1</v>
      </c>
      <c r="G35" s="102">
        <f t="shared" si="2"/>
        <v>13600</v>
      </c>
    </row>
    <row r="36" spans="2:7" ht="15.75" thickBot="1" x14ac:dyDescent="0.3">
      <c r="B36" s="105">
        <f t="shared" si="1"/>
        <v>15</v>
      </c>
      <c r="C36" s="102" t="s">
        <v>686</v>
      </c>
      <c r="D36" s="107"/>
      <c r="E36" s="102">
        <v>7000</v>
      </c>
      <c r="F36" s="102">
        <v>1</v>
      </c>
      <c r="G36" s="102">
        <f t="shared" si="2"/>
        <v>7000</v>
      </c>
    </row>
    <row r="37" spans="2:7" ht="15.75" thickBot="1" x14ac:dyDescent="0.3">
      <c r="B37" s="105"/>
      <c r="C37" s="102"/>
      <c r="D37" s="107"/>
      <c r="E37" s="102"/>
      <c r="F37" s="102"/>
      <c r="G37" s="102"/>
    </row>
    <row r="38" spans="2:7" ht="15.75" thickBot="1" x14ac:dyDescent="0.3">
      <c r="B38" s="166" t="s">
        <v>652</v>
      </c>
      <c r="C38" s="107" t="s">
        <v>1196</v>
      </c>
      <c r="D38" s="107"/>
      <c r="E38" s="107"/>
      <c r="F38" s="107"/>
      <c r="G38" s="107"/>
    </row>
    <row r="39" spans="2:7" ht="15.75" thickBot="1" x14ac:dyDescent="0.3">
      <c r="B39" s="105">
        <v>1</v>
      </c>
      <c r="C39" s="102" t="s">
        <v>692</v>
      </c>
      <c r="D39" s="107"/>
      <c r="E39" s="102">
        <f>+Capex!E78</f>
        <v>228400</v>
      </c>
      <c r="F39" s="102">
        <f>+Capex!D78</f>
        <v>1</v>
      </c>
      <c r="G39" s="102">
        <f>+E39*F39</f>
        <v>228400</v>
      </c>
    </row>
    <row r="40" spans="2:7" ht="15.75" thickBot="1" x14ac:dyDescent="0.3">
      <c r="B40" s="105">
        <v>2</v>
      </c>
      <c r="C40" s="102" t="s">
        <v>693</v>
      </c>
      <c r="D40" s="107"/>
      <c r="E40" s="102">
        <f>+Capex!E79</f>
        <v>22000</v>
      </c>
      <c r="F40" s="102">
        <f>+Capex!D79</f>
        <v>1</v>
      </c>
      <c r="G40" s="102">
        <f t="shared" ref="G40:G41" si="3">+E40*F40</f>
        <v>22000</v>
      </c>
    </row>
    <row r="41" spans="2:7" ht="15.75" thickBot="1" x14ac:dyDescent="0.3">
      <c r="B41" s="105">
        <v>3</v>
      </c>
      <c r="C41" s="102" t="s">
        <v>694</v>
      </c>
      <c r="D41" s="107"/>
      <c r="E41" s="102">
        <f>+Capex!E80</f>
        <v>50000</v>
      </c>
      <c r="F41" s="102">
        <f>+Capex!D80</f>
        <v>1</v>
      </c>
      <c r="G41" s="102">
        <f t="shared" si="3"/>
        <v>50000</v>
      </c>
    </row>
    <row r="42" spans="2:7" ht="15.75" thickBot="1" x14ac:dyDescent="0.3">
      <c r="B42" s="166"/>
      <c r="C42" s="107"/>
      <c r="D42" s="107"/>
      <c r="E42" s="107"/>
      <c r="F42" s="107"/>
      <c r="G42" s="107"/>
    </row>
    <row r="43" spans="2:7" ht="15.75" thickBot="1" x14ac:dyDescent="0.3">
      <c r="B43" s="166" t="s">
        <v>654</v>
      </c>
      <c r="C43" s="107" t="s">
        <v>1197</v>
      </c>
      <c r="D43" s="107"/>
      <c r="E43" s="107"/>
      <c r="F43" s="107"/>
      <c r="G43" s="107"/>
    </row>
    <row r="44" spans="2:7" ht="15.75" thickBot="1" x14ac:dyDescent="0.3">
      <c r="B44" s="105">
        <v>1</v>
      </c>
      <c r="C44" s="102" t="s">
        <v>1040</v>
      </c>
      <c r="D44" s="102"/>
      <c r="E44" s="102">
        <f>+Capex!E92</f>
        <v>49500</v>
      </c>
      <c r="F44" s="102">
        <f>+Capex!D92</f>
        <v>2</v>
      </c>
      <c r="G44" s="102">
        <f>+E44*F44</f>
        <v>99000</v>
      </c>
    </row>
    <row r="45" spans="2:7" ht="15.75" thickBot="1" x14ac:dyDescent="0.3">
      <c r="B45" s="105">
        <v>2</v>
      </c>
      <c r="C45" s="102" t="s">
        <v>691</v>
      </c>
      <c r="D45" s="102"/>
      <c r="E45" s="102">
        <f>+Capex!E93</f>
        <v>21240</v>
      </c>
      <c r="F45" s="102">
        <f>+Capex!D93</f>
        <v>1</v>
      </c>
      <c r="G45" s="102">
        <f t="shared" ref="G45:G47" si="4">+E45*F45</f>
        <v>21240</v>
      </c>
    </row>
    <row r="46" spans="2:7" ht="15.75" thickBot="1" x14ac:dyDescent="0.3">
      <c r="B46" s="105">
        <v>3</v>
      </c>
      <c r="C46" s="102" t="s">
        <v>1041</v>
      </c>
      <c r="D46" s="102"/>
      <c r="E46" s="102">
        <f>+Capex!E94</f>
        <v>25410</v>
      </c>
      <c r="F46" s="102">
        <f>+Capex!D94</f>
        <v>1</v>
      </c>
      <c r="G46" s="102">
        <f t="shared" si="4"/>
        <v>25410</v>
      </c>
    </row>
    <row r="47" spans="2:7" ht="30.75" thickBot="1" x14ac:dyDescent="0.3">
      <c r="B47" s="105">
        <v>4</v>
      </c>
      <c r="C47" s="102" t="s">
        <v>1042</v>
      </c>
      <c r="D47" s="102"/>
      <c r="E47" s="102">
        <f>+Capex!E95</f>
        <v>33850</v>
      </c>
      <c r="F47" s="102">
        <f>+Capex!D95</f>
        <v>1</v>
      </c>
      <c r="G47" s="102">
        <f t="shared" si="4"/>
        <v>33850</v>
      </c>
    </row>
    <row r="48" spans="2:7" ht="15.75" thickBot="1" x14ac:dyDescent="0.3">
      <c r="B48" s="105"/>
      <c r="C48" s="102"/>
      <c r="D48" s="102"/>
      <c r="E48" s="102"/>
      <c r="F48" s="102"/>
      <c r="G48" s="102"/>
    </row>
    <row r="49" spans="2:7" ht="15.75" thickBot="1" x14ac:dyDescent="0.3">
      <c r="B49" s="166" t="s">
        <v>656</v>
      </c>
      <c r="C49" s="107" t="s">
        <v>1054</v>
      </c>
      <c r="D49" s="102"/>
      <c r="E49" s="102"/>
      <c r="F49" s="102"/>
      <c r="G49" s="102"/>
    </row>
    <row r="50" spans="2:7" ht="15.75" thickBot="1" x14ac:dyDescent="0.3">
      <c r="B50" s="105">
        <v>1</v>
      </c>
      <c r="C50" s="102" t="str">
        <f>+Capex!C106</f>
        <v>BOLERO PICK UP VAN</v>
      </c>
      <c r="D50" s="102"/>
      <c r="E50" s="102">
        <f>+Capex!E106</f>
        <v>944938</v>
      </c>
      <c r="F50" s="102">
        <f>+Capex!D106</f>
        <v>1</v>
      </c>
      <c r="G50" s="102">
        <f>+E50*F50</f>
        <v>944938</v>
      </c>
    </row>
    <row r="51" spans="2:7" ht="15.75" thickBot="1" x14ac:dyDescent="0.3">
      <c r="B51" s="105"/>
      <c r="C51" s="102"/>
      <c r="D51" s="102"/>
      <c r="E51" s="102"/>
      <c r="F51" s="102"/>
      <c r="G51" s="102"/>
    </row>
    <row r="52" spans="2:7" ht="15.75" thickBot="1" x14ac:dyDescent="0.3">
      <c r="B52" s="166"/>
      <c r="C52" s="107" t="s">
        <v>768</v>
      </c>
      <c r="D52" s="107"/>
      <c r="E52" s="107"/>
      <c r="F52" s="107"/>
      <c r="G52" s="107">
        <f>SUM(G19:G51)</f>
        <v>7111688</v>
      </c>
    </row>
    <row r="53" spans="2:7" ht="15.75" thickBot="1" x14ac:dyDescent="0.3">
      <c r="B53" s="166" t="s">
        <v>171</v>
      </c>
      <c r="C53" s="691" t="s">
        <v>1036</v>
      </c>
      <c r="D53" s="692"/>
      <c r="E53" s="692"/>
      <c r="F53" s="692"/>
      <c r="G53" s="693"/>
    </row>
    <row r="54" spans="2:7" ht="15.75" thickBot="1" x14ac:dyDescent="0.3">
      <c r="B54" s="166"/>
      <c r="C54" s="183"/>
      <c r="D54" s="183"/>
      <c r="E54" s="183"/>
      <c r="F54" s="183"/>
      <c r="G54" s="107"/>
    </row>
    <row r="55" spans="2:7" ht="15.75" thickBot="1" x14ac:dyDescent="0.3">
      <c r="B55" s="166" t="s">
        <v>1035</v>
      </c>
      <c r="C55" s="107" t="s">
        <v>834</v>
      </c>
      <c r="D55" s="107"/>
      <c r="E55" s="107"/>
      <c r="F55" s="107"/>
      <c r="G55" s="107">
        <v>0</v>
      </c>
    </row>
    <row r="56" spans="2:7" ht="15.75" thickBot="1" x14ac:dyDescent="0.3">
      <c r="B56" s="166" t="s">
        <v>1037</v>
      </c>
      <c r="C56" s="107" t="s">
        <v>151</v>
      </c>
      <c r="D56" s="107"/>
      <c r="E56" s="107"/>
      <c r="F56" s="107"/>
      <c r="G56" s="107"/>
    </row>
    <row r="57" spans="2:7" ht="30.75" thickBot="1" x14ac:dyDescent="0.3">
      <c r="B57" s="105">
        <v>1</v>
      </c>
      <c r="C57" s="102" t="s">
        <v>699</v>
      </c>
      <c r="D57" s="107"/>
      <c r="E57" s="102">
        <v>850000</v>
      </c>
      <c r="F57" s="102">
        <v>1</v>
      </c>
      <c r="G57" s="102">
        <f>+E57*F57</f>
        <v>850000</v>
      </c>
    </row>
    <row r="58" spans="2:7" ht="15.75" thickBot="1" x14ac:dyDescent="0.3">
      <c r="B58" s="105">
        <v>2</v>
      </c>
      <c r="C58" s="102" t="s">
        <v>1188</v>
      </c>
      <c r="D58" s="107"/>
      <c r="E58" s="102">
        <v>205000</v>
      </c>
      <c r="F58" s="102">
        <v>1</v>
      </c>
      <c r="G58" s="102">
        <f t="shared" ref="G58:G68" si="5">+E58*F58</f>
        <v>205000</v>
      </c>
    </row>
    <row r="59" spans="2:7" ht="15.75" thickBot="1" x14ac:dyDescent="0.3">
      <c r="B59" s="105">
        <v>3</v>
      </c>
      <c r="C59" s="102" t="s">
        <v>1189</v>
      </c>
      <c r="D59" s="107"/>
      <c r="E59" s="102">
        <v>360000</v>
      </c>
      <c r="F59" s="102">
        <v>1</v>
      </c>
      <c r="G59" s="102">
        <f t="shared" si="5"/>
        <v>360000</v>
      </c>
    </row>
    <row r="60" spans="2:7" ht="15.75" thickBot="1" x14ac:dyDescent="0.3">
      <c r="B60" s="105">
        <v>4</v>
      </c>
      <c r="C60" s="102" t="s">
        <v>672</v>
      </c>
      <c r="D60" s="107"/>
      <c r="E60" s="102">
        <v>100000</v>
      </c>
      <c r="F60" s="102">
        <v>1</v>
      </c>
      <c r="G60" s="102">
        <f t="shared" si="5"/>
        <v>100000</v>
      </c>
    </row>
    <row r="61" spans="2:7" ht="15.75" thickBot="1" x14ac:dyDescent="0.3">
      <c r="B61" s="105">
        <v>5</v>
      </c>
      <c r="C61" s="102" t="s">
        <v>673</v>
      </c>
      <c r="D61" s="107"/>
      <c r="E61" s="102">
        <v>50000</v>
      </c>
      <c r="F61" s="102">
        <v>1</v>
      </c>
      <c r="G61" s="102">
        <f t="shared" si="5"/>
        <v>50000</v>
      </c>
    </row>
    <row r="62" spans="2:7" ht="15.75" thickBot="1" x14ac:dyDescent="0.3">
      <c r="B62" s="105">
        <v>6</v>
      </c>
      <c r="C62" s="102" t="s">
        <v>674</v>
      </c>
      <c r="D62" s="107"/>
      <c r="E62" s="102">
        <v>28000</v>
      </c>
      <c r="F62" s="102">
        <v>1</v>
      </c>
      <c r="G62" s="102">
        <f t="shared" si="5"/>
        <v>28000</v>
      </c>
    </row>
    <row r="63" spans="2:7" ht="15.75" thickBot="1" x14ac:dyDescent="0.3">
      <c r="B63" s="105">
        <v>7</v>
      </c>
      <c r="C63" s="102" t="s">
        <v>1190</v>
      </c>
      <c r="D63" s="107"/>
      <c r="E63" s="102">
        <v>180000</v>
      </c>
      <c r="F63" s="102">
        <v>1</v>
      </c>
      <c r="G63" s="102">
        <f t="shared" si="5"/>
        <v>180000</v>
      </c>
    </row>
    <row r="64" spans="2:7" ht="15.75" thickBot="1" x14ac:dyDescent="0.3">
      <c r="B64" s="105">
        <v>8</v>
      </c>
      <c r="C64" s="102" t="s">
        <v>675</v>
      </c>
      <c r="D64" s="107"/>
      <c r="E64" s="102">
        <v>145000</v>
      </c>
      <c r="F64" s="102">
        <v>2</v>
      </c>
      <c r="G64" s="102">
        <f t="shared" si="5"/>
        <v>290000</v>
      </c>
    </row>
    <row r="65" spans="2:7" ht="15.75" thickBot="1" x14ac:dyDescent="0.3">
      <c r="B65" s="105">
        <v>9</v>
      </c>
      <c r="C65" s="102" t="s">
        <v>676</v>
      </c>
      <c r="D65" s="107"/>
      <c r="E65" s="102">
        <v>272000</v>
      </c>
      <c r="F65" s="102">
        <v>1</v>
      </c>
      <c r="G65" s="102">
        <f t="shared" si="5"/>
        <v>272000</v>
      </c>
    </row>
    <row r="66" spans="2:7" ht="15.75" thickBot="1" x14ac:dyDescent="0.3">
      <c r="B66" s="105">
        <v>10</v>
      </c>
      <c r="C66" s="102" t="s">
        <v>677</v>
      </c>
      <c r="D66" s="107"/>
      <c r="E66" s="102">
        <v>32000</v>
      </c>
      <c r="F66" s="102">
        <v>1</v>
      </c>
      <c r="G66" s="102">
        <f t="shared" si="5"/>
        <v>32000</v>
      </c>
    </row>
    <row r="67" spans="2:7" ht="15.75" thickBot="1" x14ac:dyDescent="0.3">
      <c r="B67" s="105">
        <v>11</v>
      </c>
      <c r="C67" s="102" t="s">
        <v>678</v>
      </c>
      <c r="D67" s="107"/>
      <c r="E67" s="102">
        <v>125000</v>
      </c>
      <c r="F67" s="102">
        <v>1</v>
      </c>
      <c r="G67" s="102">
        <f t="shared" si="5"/>
        <v>125000</v>
      </c>
    </row>
    <row r="68" spans="2:7" ht="15.75" thickBot="1" x14ac:dyDescent="0.3">
      <c r="B68" s="105">
        <v>12</v>
      </c>
      <c r="C68" s="102" t="s">
        <v>700</v>
      </c>
      <c r="D68" s="107"/>
      <c r="E68" s="102">
        <v>27000</v>
      </c>
      <c r="F68" s="102">
        <v>1</v>
      </c>
      <c r="G68" s="102">
        <f t="shared" si="5"/>
        <v>27000</v>
      </c>
    </row>
    <row r="69" spans="2:7" ht="15.75" thickBot="1" x14ac:dyDescent="0.3">
      <c r="B69" s="105"/>
      <c r="C69" s="102"/>
      <c r="D69" s="107"/>
      <c r="E69" s="102"/>
      <c r="F69" s="102"/>
      <c r="G69" s="102"/>
    </row>
    <row r="70" spans="2:7" ht="15.75" thickBot="1" x14ac:dyDescent="0.3">
      <c r="B70" s="166"/>
      <c r="C70" s="107" t="s">
        <v>1038</v>
      </c>
      <c r="D70" s="107"/>
      <c r="E70" s="107"/>
      <c r="F70" s="107"/>
      <c r="G70" s="107">
        <f>SUM(G56:G69)</f>
        <v>2519000</v>
      </c>
    </row>
    <row r="71" spans="2:7" ht="15.75" thickBot="1" x14ac:dyDescent="0.3">
      <c r="B71" s="166"/>
      <c r="C71" s="107"/>
      <c r="D71" s="107"/>
      <c r="E71" s="107"/>
      <c r="F71" s="107"/>
      <c r="G71" s="107"/>
    </row>
    <row r="72" spans="2:7" ht="15.75" thickBot="1" x14ac:dyDescent="0.3">
      <c r="B72" s="166"/>
      <c r="C72" s="107"/>
      <c r="D72" s="107"/>
      <c r="E72" s="107"/>
      <c r="F72" s="107"/>
      <c r="G72" s="107"/>
    </row>
    <row r="73" spans="2:7" ht="15.75" thickBot="1" x14ac:dyDescent="0.3">
      <c r="B73" s="166"/>
      <c r="C73" s="107"/>
      <c r="D73" s="107"/>
      <c r="E73" s="107"/>
      <c r="F73" s="107"/>
      <c r="G73" s="107"/>
    </row>
    <row r="74" spans="2:7" ht="15.75" thickBot="1" x14ac:dyDescent="0.3">
      <c r="B74" s="166"/>
      <c r="C74" s="107" t="s">
        <v>1043</v>
      </c>
      <c r="D74" s="107"/>
      <c r="E74" s="107"/>
      <c r="F74" s="107"/>
      <c r="G74" s="107">
        <f>+G16+G52+G70</f>
        <v>11990688</v>
      </c>
    </row>
    <row r="78" spans="2:7" ht="15.75" thickBot="1" x14ac:dyDescent="0.3">
      <c r="B78" s="192" t="s">
        <v>1044</v>
      </c>
    </row>
    <row r="79" spans="2:7" ht="30.75" thickBot="1" x14ac:dyDescent="0.3">
      <c r="B79" s="99" t="s">
        <v>383</v>
      </c>
      <c r="C79" s="100" t="s">
        <v>839</v>
      </c>
      <c r="D79" s="100" t="s">
        <v>840</v>
      </c>
      <c r="E79" s="100" t="s">
        <v>841</v>
      </c>
    </row>
    <row r="80" spans="2:7" x14ac:dyDescent="0.25">
      <c r="B80" s="639">
        <v>1</v>
      </c>
      <c r="C80" s="639" t="s">
        <v>1045</v>
      </c>
      <c r="D80" s="639" t="s">
        <v>1046</v>
      </c>
      <c r="E80" s="639" t="s">
        <v>1047</v>
      </c>
    </row>
    <row r="81" spans="2:5" x14ac:dyDescent="0.25">
      <c r="B81" s="640"/>
      <c r="C81" s="640"/>
      <c r="D81" s="640"/>
      <c r="E81" s="640"/>
    </row>
    <row r="82" spans="2:5" x14ac:dyDescent="0.25">
      <c r="B82" s="640"/>
      <c r="C82" s="640"/>
      <c r="D82" s="640"/>
      <c r="E82" s="640"/>
    </row>
    <row r="83" spans="2:5" x14ac:dyDescent="0.25">
      <c r="B83" s="640"/>
      <c r="C83" s="640"/>
      <c r="D83" s="640"/>
      <c r="E83" s="640"/>
    </row>
    <row r="84" spans="2:5" x14ac:dyDescent="0.25">
      <c r="B84" s="640"/>
      <c r="C84" s="640"/>
      <c r="D84" s="640"/>
      <c r="E84" s="640"/>
    </row>
    <row r="85" spans="2:5" ht="15.75" thickBot="1" x14ac:dyDescent="0.3">
      <c r="B85" s="641"/>
      <c r="C85" s="641"/>
      <c r="D85" s="641"/>
      <c r="E85" s="641"/>
    </row>
  </sheetData>
  <mergeCells count="7">
    <mergeCell ref="C6:G6"/>
    <mergeCell ref="C17:G17"/>
    <mergeCell ref="B80:B85"/>
    <mergeCell ref="C80:C85"/>
    <mergeCell ref="D80:D85"/>
    <mergeCell ref="E80:E85"/>
    <mergeCell ref="C53:G53"/>
  </mergeCells>
  <pageMargins left="0.2" right="0.21" top="0.56000000000000005" bottom="0.17" header="0.17" footer="0.17"/>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7"/>
  <sheetViews>
    <sheetView zoomScale="145" zoomScaleNormal="145" workbookViewId="0">
      <selection activeCell="C8" sqref="C8"/>
    </sheetView>
  </sheetViews>
  <sheetFormatPr defaultColWidth="8.7109375" defaultRowHeight="15" x14ac:dyDescent="0.25"/>
  <cols>
    <col min="1" max="1" width="4.28515625" style="192" customWidth="1"/>
    <col min="2" max="2" width="6.140625" style="192" customWidth="1"/>
    <col min="3" max="3" width="22.28515625" style="192" customWidth="1"/>
    <col min="4" max="16384" width="8.7109375" style="192"/>
  </cols>
  <sheetData>
    <row r="2" spans="2:15" ht="14.45" x14ac:dyDescent="0.35">
      <c r="B2" s="108" t="s">
        <v>848</v>
      </c>
    </row>
    <row r="3" spans="2:15" thickBot="1" x14ac:dyDescent="0.4">
      <c r="B3" s="192" t="s">
        <v>849</v>
      </c>
    </row>
    <row r="4" spans="2:15" ht="29.25" customHeight="1" thickBot="1" x14ac:dyDescent="0.3">
      <c r="B4" s="659" t="s">
        <v>383</v>
      </c>
      <c r="C4" s="659" t="s">
        <v>850</v>
      </c>
      <c r="D4" s="650" t="s">
        <v>11</v>
      </c>
      <c r="E4" s="652"/>
      <c r="F4" s="652"/>
      <c r="G4" s="651"/>
      <c r="H4" s="650" t="s">
        <v>851</v>
      </c>
      <c r="I4" s="652"/>
      <c r="J4" s="652"/>
      <c r="K4" s="651"/>
      <c r="L4" s="650" t="s">
        <v>1048</v>
      </c>
      <c r="M4" s="652"/>
      <c r="N4" s="652"/>
      <c r="O4" s="651"/>
    </row>
    <row r="5" spans="2:15" ht="15.75" thickBot="1" x14ac:dyDescent="0.3">
      <c r="B5" s="661"/>
      <c r="C5" s="661"/>
      <c r="D5" s="114" t="s">
        <v>852</v>
      </c>
      <c r="E5" s="114" t="s">
        <v>853</v>
      </c>
      <c r="F5" s="114" t="s">
        <v>854</v>
      </c>
      <c r="G5" s="114" t="s">
        <v>855</v>
      </c>
      <c r="H5" s="114" t="s">
        <v>852</v>
      </c>
      <c r="I5" s="114" t="s">
        <v>853</v>
      </c>
      <c r="J5" s="114" t="s">
        <v>854</v>
      </c>
      <c r="K5" s="114" t="s">
        <v>855</v>
      </c>
      <c r="L5" s="114" t="s">
        <v>852</v>
      </c>
      <c r="M5" s="114" t="s">
        <v>853</v>
      </c>
      <c r="N5" s="114" t="s">
        <v>854</v>
      </c>
      <c r="O5" s="114" t="s">
        <v>855</v>
      </c>
    </row>
    <row r="6" spans="2:15" thickBot="1" x14ac:dyDescent="0.4">
      <c r="B6" s="166" t="s">
        <v>169</v>
      </c>
      <c r="C6" s="107" t="s">
        <v>856</v>
      </c>
      <c r="D6" s="107"/>
      <c r="E6" s="107"/>
      <c r="F6" s="107"/>
      <c r="G6" s="107"/>
      <c r="H6" s="107"/>
      <c r="I6" s="107"/>
      <c r="J6" s="107"/>
      <c r="K6" s="107"/>
      <c r="L6" s="107"/>
      <c r="M6" s="107"/>
      <c r="N6" s="107"/>
      <c r="O6" s="107"/>
    </row>
    <row r="7" spans="2:15" thickBot="1" x14ac:dyDescent="0.4">
      <c r="B7" s="105">
        <v>1</v>
      </c>
      <c r="C7" s="102" t="s">
        <v>1049</v>
      </c>
      <c r="D7" s="165">
        <v>0.5</v>
      </c>
      <c r="E7" s="165">
        <v>1</v>
      </c>
      <c r="F7" s="102"/>
      <c r="G7" s="102"/>
      <c r="H7" s="102"/>
      <c r="I7" s="102"/>
      <c r="J7" s="102"/>
      <c r="K7" s="102"/>
      <c r="L7" s="102"/>
      <c r="M7" s="102"/>
      <c r="N7" s="102"/>
      <c r="O7" s="102"/>
    </row>
    <row r="8" spans="2:15" thickBot="1" x14ac:dyDescent="0.4">
      <c r="B8" s="105">
        <v>2</v>
      </c>
      <c r="C8" s="102" t="s">
        <v>1050</v>
      </c>
      <c r="D8" s="165">
        <v>0.5</v>
      </c>
      <c r="E8" s="165">
        <v>1</v>
      </c>
      <c r="F8" s="102"/>
      <c r="G8" s="102"/>
      <c r="H8" s="102"/>
      <c r="I8" s="102"/>
      <c r="J8" s="102"/>
      <c r="K8" s="102"/>
      <c r="L8" s="102"/>
      <c r="M8" s="102"/>
      <c r="N8" s="102"/>
      <c r="O8" s="102"/>
    </row>
    <row r="9" spans="2:15" ht="15.75" thickBot="1" x14ac:dyDescent="0.3">
      <c r="B9" s="166" t="s">
        <v>170</v>
      </c>
      <c r="C9" s="107" t="s">
        <v>857</v>
      </c>
      <c r="D9" s="107"/>
      <c r="E9" s="107"/>
      <c r="F9" s="107"/>
      <c r="G9" s="107"/>
      <c r="H9" s="107"/>
      <c r="I9" s="107"/>
      <c r="J9" s="107"/>
      <c r="K9" s="107"/>
      <c r="L9" s="107"/>
      <c r="M9" s="107"/>
      <c r="N9" s="107"/>
      <c r="O9" s="107"/>
    </row>
    <row r="10" spans="2:15" thickBot="1" x14ac:dyDescent="0.4">
      <c r="B10" s="105">
        <v>1</v>
      </c>
      <c r="C10" s="102" t="s">
        <v>1051</v>
      </c>
      <c r="D10" s="165">
        <v>0</v>
      </c>
      <c r="E10" s="165">
        <v>0</v>
      </c>
      <c r="F10" s="165">
        <v>1</v>
      </c>
      <c r="G10" s="102"/>
      <c r="H10" s="102"/>
      <c r="I10" s="102"/>
      <c r="J10" s="102"/>
      <c r="K10" s="102"/>
      <c r="L10" s="102"/>
      <c r="M10" s="102"/>
      <c r="N10" s="102"/>
      <c r="O10" s="102"/>
    </row>
    <row r="11" spans="2:15" thickBot="1" x14ac:dyDescent="0.4">
      <c r="B11" s="105">
        <v>2</v>
      </c>
      <c r="C11" s="102" t="s">
        <v>1050</v>
      </c>
      <c r="D11" s="102"/>
      <c r="E11" s="165">
        <v>0.5</v>
      </c>
      <c r="F11" s="165">
        <v>1</v>
      </c>
      <c r="G11" s="102"/>
      <c r="H11" s="102"/>
      <c r="I11" s="102"/>
      <c r="J11" s="102"/>
      <c r="K11" s="102"/>
      <c r="L11" s="102"/>
      <c r="M11" s="102"/>
      <c r="N11" s="102"/>
      <c r="O11" s="102"/>
    </row>
    <row r="12" spans="2:15" ht="15.75" thickBot="1" x14ac:dyDescent="0.3">
      <c r="B12" s="166" t="s">
        <v>171</v>
      </c>
      <c r="C12" s="107" t="s">
        <v>858</v>
      </c>
      <c r="D12" s="107"/>
      <c r="E12" s="107"/>
      <c r="F12" s="107"/>
      <c r="G12" s="107"/>
      <c r="H12" s="107"/>
      <c r="I12" s="107"/>
      <c r="J12" s="107"/>
      <c r="K12" s="107"/>
      <c r="L12" s="107"/>
      <c r="M12" s="107"/>
      <c r="N12" s="107"/>
      <c r="O12" s="107"/>
    </row>
    <row r="13" spans="2:15" thickBot="1" x14ac:dyDescent="0.4">
      <c r="B13" s="105">
        <v>1</v>
      </c>
      <c r="C13" s="102" t="s">
        <v>1050</v>
      </c>
      <c r="D13" s="165">
        <v>0</v>
      </c>
      <c r="E13" s="165">
        <v>0.75</v>
      </c>
      <c r="F13" s="165">
        <v>1</v>
      </c>
      <c r="G13" s="102"/>
      <c r="H13" s="102"/>
      <c r="I13" s="102"/>
      <c r="J13" s="102"/>
      <c r="K13" s="102"/>
      <c r="L13" s="102"/>
      <c r="M13" s="102"/>
      <c r="N13" s="102"/>
      <c r="O13" s="102"/>
    </row>
    <row r="14" spans="2:15" thickBot="1" x14ac:dyDescent="0.4">
      <c r="B14" s="105">
        <v>2</v>
      </c>
      <c r="C14" s="102"/>
      <c r="D14" s="102"/>
      <c r="E14" s="102"/>
      <c r="F14" s="102"/>
      <c r="G14" s="102"/>
      <c r="H14" s="102"/>
      <c r="I14" s="102"/>
      <c r="J14" s="102"/>
      <c r="K14" s="102"/>
      <c r="L14" s="102"/>
      <c r="M14" s="102"/>
      <c r="N14" s="102"/>
      <c r="O14" s="102"/>
    </row>
    <row r="15" spans="2:15" thickBot="1" x14ac:dyDescent="0.4">
      <c r="B15" s="166" t="s">
        <v>172</v>
      </c>
      <c r="C15" s="107" t="s">
        <v>859</v>
      </c>
      <c r="D15" s="107"/>
      <c r="E15" s="107"/>
      <c r="F15" s="107"/>
      <c r="G15" s="107"/>
      <c r="H15" s="107"/>
      <c r="I15" s="107"/>
      <c r="J15" s="107"/>
      <c r="K15" s="107"/>
      <c r="L15" s="107"/>
      <c r="M15" s="107"/>
      <c r="N15" s="107"/>
      <c r="O15" s="107"/>
    </row>
    <row r="16" spans="2:15" thickBot="1" x14ac:dyDescent="0.4">
      <c r="B16" s="105">
        <v>1</v>
      </c>
      <c r="C16" s="102"/>
      <c r="D16" s="102"/>
      <c r="E16" s="102"/>
      <c r="F16" s="102"/>
      <c r="G16" s="102"/>
      <c r="H16" s="102"/>
      <c r="I16" s="102"/>
      <c r="J16" s="102"/>
      <c r="K16" s="102"/>
      <c r="L16" s="102"/>
      <c r="M16" s="102"/>
      <c r="N16" s="102"/>
      <c r="O16" s="102"/>
    </row>
    <row r="17" spans="2:15" thickBot="1" x14ac:dyDescent="0.4">
      <c r="B17" s="105">
        <v>2</v>
      </c>
      <c r="C17" s="102"/>
      <c r="D17" s="102"/>
      <c r="E17" s="102"/>
      <c r="F17" s="102"/>
      <c r="G17" s="102"/>
      <c r="H17" s="102"/>
      <c r="I17" s="102"/>
      <c r="J17" s="102"/>
      <c r="K17" s="102"/>
      <c r="L17" s="102"/>
      <c r="M17" s="102"/>
      <c r="N17" s="102"/>
      <c r="O17" s="102"/>
    </row>
  </sheetData>
  <mergeCells count="5">
    <mergeCell ref="B4:B5"/>
    <mergeCell ref="C4:C5"/>
    <mergeCell ref="D4:G4"/>
    <mergeCell ref="H4:K4"/>
    <mergeCell ref="L4:O4"/>
  </mergeCells>
  <pageMargins left="0.32" right="0.17" top="0.75" bottom="0.75" header="0.3" footer="0.3"/>
  <pageSetup paperSize="9"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zoomScale="145" zoomScaleNormal="145" workbookViewId="0">
      <selection activeCell="C8" sqref="C8"/>
    </sheetView>
  </sheetViews>
  <sheetFormatPr defaultColWidth="8.7109375" defaultRowHeight="15" x14ac:dyDescent="0.25"/>
  <cols>
    <col min="1" max="2" width="8.7109375" style="192"/>
    <col min="3" max="3" width="22" style="192" customWidth="1"/>
    <col min="4" max="4" width="8.7109375" style="192"/>
    <col min="5" max="5" width="11.28515625" style="192" customWidth="1"/>
    <col min="6" max="6" width="12.140625" style="192" customWidth="1"/>
    <col min="7" max="7" width="14" style="192" customWidth="1"/>
    <col min="8" max="16384" width="8.7109375" style="192"/>
  </cols>
  <sheetData>
    <row r="1" spans="2:7" ht="14.45" x14ac:dyDescent="0.35">
      <c r="B1" s="192" t="s">
        <v>860</v>
      </c>
    </row>
    <row r="2" spans="2:7" ht="14.45" x14ac:dyDescent="0.35">
      <c r="B2" s="192" t="s">
        <v>861</v>
      </c>
    </row>
    <row r="4" spans="2:7" thickBot="1" x14ac:dyDescent="0.4">
      <c r="B4" s="192" t="s">
        <v>862</v>
      </c>
    </row>
    <row r="5" spans="2:7" ht="29.45" thickBot="1" x14ac:dyDescent="0.4">
      <c r="B5" s="99" t="s">
        <v>383</v>
      </c>
      <c r="C5" s="100" t="s">
        <v>863</v>
      </c>
      <c r="D5" s="100" t="s">
        <v>130</v>
      </c>
      <c r="E5" s="100" t="s">
        <v>864</v>
      </c>
      <c r="F5" s="100" t="s">
        <v>865</v>
      </c>
      <c r="G5" s="100" t="s">
        <v>832</v>
      </c>
    </row>
    <row r="6" spans="2:7" thickBot="1" x14ac:dyDescent="0.4">
      <c r="B6" s="105">
        <v>1</v>
      </c>
      <c r="C6" s="102" t="s">
        <v>866</v>
      </c>
      <c r="D6" s="107"/>
      <c r="E6" s="107"/>
      <c r="F6" s="107">
        <v>2</v>
      </c>
      <c r="G6" s="102">
        <f>+'Cost MOF'!D5</f>
        <v>7230000</v>
      </c>
    </row>
    <row r="7" spans="2:7" ht="29.45" thickBot="1" x14ac:dyDescent="0.4">
      <c r="B7" s="105">
        <v>2</v>
      </c>
      <c r="C7" s="102" t="s">
        <v>1052</v>
      </c>
      <c r="D7" s="107"/>
      <c r="E7" s="107"/>
      <c r="F7" s="107"/>
      <c r="G7" s="102">
        <f>+'Cost MOF'!D6+'Cost MOF'!D9</f>
        <v>9557638</v>
      </c>
    </row>
    <row r="8" spans="2:7" ht="14.45" x14ac:dyDescent="0.35">
      <c r="B8" s="175">
        <v>3</v>
      </c>
      <c r="C8" s="175" t="s">
        <v>367</v>
      </c>
      <c r="D8" s="176"/>
      <c r="E8" s="176"/>
      <c r="F8" s="176"/>
      <c r="G8" s="175">
        <f>+'Cost MOF'!D7</f>
        <v>300400</v>
      </c>
    </row>
    <row r="9" spans="2:7" thickBot="1" x14ac:dyDescent="0.4">
      <c r="B9" s="105"/>
      <c r="C9" s="105"/>
      <c r="D9" s="166"/>
      <c r="E9" s="166"/>
      <c r="F9" s="166"/>
      <c r="G9" s="105"/>
    </row>
    <row r="10" spans="2:7" thickBot="1" x14ac:dyDescent="0.4">
      <c r="B10" s="105">
        <v>4</v>
      </c>
      <c r="C10" s="102" t="s">
        <v>698</v>
      </c>
      <c r="D10" s="107"/>
      <c r="E10" s="107"/>
      <c r="F10" s="107"/>
      <c r="G10" s="102">
        <f>+'Cost MOF'!D8</f>
        <v>179500</v>
      </c>
    </row>
    <row r="11" spans="2:7" ht="29.45" thickBot="1" x14ac:dyDescent="0.4">
      <c r="B11" s="105">
        <v>5</v>
      </c>
      <c r="C11" s="102" t="s">
        <v>1270</v>
      </c>
      <c r="D11" s="107"/>
      <c r="E11" s="107"/>
      <c r="F11" s="107"/>
      <c r="G11" s="102">
        <f>+'Cost MOF'!D10</f>
        <v>500000</v>
      </c>
    </row>
    <row r="12" spans="2:7" thickBot="1" x14ac:dyDescent="0.4">
      <c r="B12" s="177">
        <v>6</v>
      </c>
      <c r="C12" s="102" t="s">
        <v>152</v>
      </c>
      <c r="D12" s="107"/>
      <c r="E12" s="107"/>
      <c r="F12" s="107"/>
      <c r="G12" s="102">
        <f>+ROUND(('Cost MOF'!D11),0)</f>
        <v>289474</v>
      </c>
    </row>
    <row r="13" spans="2:7" thickBot="1" x14ac:dyDescent="0.4">
      <c r="B13" s="696" t="s">
        <v>1</v>
      </c>
      <c r="C13" s="697"/>
      <c r="D13" s="107"/>
      <c r="E13" s="107"/>
      <c r="F13" s="107"/>
      <c r="G13" s="107">
        <f>SUM(G6:G12)</f>
        <v>18057012</v>
      </c>
    </row>
    <row r="15" spans="2:7" thickBot="1" x14ac:dyDescent="0.4">
      <c r="B15" s="192" t="s">
        <v>867</v>
      </c>
    </row>
    <row r="16" spans="2:7" ht="29.45" thickBot="1" x14ac:dyDescent="0.4">
      <c r="B16" s="99" t="s">
        <v>822</v>
      </c>
      <c r="C16" s="650" t="s">
        <v>868</v>
      </c>
      <c r="D16" s="651"/>
      <c r="E16" s="650" t="s">
        <v>154</v>
      </c>
      <c r="F16" s="651"/>
      <c r="G16" s="100" t="s">
        <v>869</v>
      </c>
    </row>
    <row r="17" spans="2:7" ht="30.75" customHeight="1" thickBot="1" x14ac:dyDescent="0.4">
      <c r="B17" s="105">
        <v>1</v>
      </c>
      <c r="C17" s="672" t="s">
        <v>870</v>
      </c>
      <c r="D17" s="673"/>
      <c r="E17" s="694">
        <f>+ROUND(('Cost MOF'!E19),0)</f>
        <v>10093560</v>
      </c>
      <c r="F17" s="695"/>
      <c r="G17" s="102"/>
    </row>
    <row r="18" spans="2:7" thickBot="1" x14ac:dyDescent="0.4">
      <c r="B18" s="105">
        <v>2</v>
      </c>
      <c r="C18" s="672" t="s">
        <v>871</v>
      </c>
      <c r="D18" s="673"/>
      <c r="E18" s="694">
        <f>+ROUND(('Cost MOF'!E21),0)</f>
        <v>1893604</v>
      </c>
      <c r="F18" s="695"/>
      <c r="G18" s="102"/>
    </row>
    <row r="19" spans="2:7" thickBot="1" x14ac:dyDescent="0.4">
      <c r="B19" s="105">
        <v>3</v>
      </c>
      <c r="C19" s="672" t="s">
        <v>872</v>
      </c>
      <c r="D19" s="673"/>
      <c r="E19" s="694">
        <f>+ROUND(('Cost MOF'!E20),0)-1</f>
        <v>6069847</v>
      </c>
      <c r="F19" s="695"/>
      <c r="G19" s="102"/>
    </row>
    <row r="20" spans="2:7" thickBot="1" x14ac:dyDescent="0.4">
      <c r="B20" s="105">
        <v>4</v>
      </c>
      <c r="C20" s="672" t="s">
        <v>826</v>
      </c>
      <c r="D20" s="673"/>
      <c r="E20" s="694"/>
      <c r="F20" s="695"/>
      <c r="G20" s="102"/>
    </row>
    <row r="21" spans="2:7" thickBot="1" x14ac:dyDescent="0.4">
      <c r="B21" s="166">
        <v>5</v>
      </c>
      <c r="C21" s="669" t="s">
        <v>873</v>
      </c>
      <c r="D21" s="670"/>
      <c r="E21" s="694">
        <f>ROUND((SUM(E17:E20)),0)</f>
        <v>18057011</v>
      </c>
      <c r="F21" s="695"/>
      <c r="G21" s="102"/>
    </row>
    <row r="23" spans="2:7" ht="14.45" x14ac:dyDescent="0.35">
      <c r="B23" s="192" t="s">
        <v>874</v>
      </c>
    </row>
    <row r="24" spans="2:7" ht="14.45" x14ac:dyDescent="0.35">
      <c r="B24" s="192" t="s">
        <v>875</v>
      </c>
    </row>
    <row r="26" spans="2:7" ht="14.45" x14ac:dyDescent="0.35">
      <c r="B26" s="192" t="s">
        <v>876</v>
      </c>
    </row>
    <row r="28" spans="2:7" thickBot="1" x14ac:dyDescent="0.4">
      <c r="B28" s="192" t="s">
        <v>877</v>
      </c>
    </row>
    <row r="29" spans="2:7" ht="29.45" thickBot="1" x14ac:dyDescent="0.4">
      <c r="B29" s="178" t="s">
        <v>141</v>
      </c>
      <c r="C29" s="179" t="s">
        <v>868</v>
      </c>
      <c r="D29" s="694" t="s">
        <v>878</v>
      </c>
      <c r="E29" s="695"/>
      <c r="F29" s="179" t="s">
        <v>879</v>
      </c>
      <c r="G29" s="179" t="s">
        <v>880</v>
      </c>
    </row>
    <row r="30" spans="2:7" thickBot="1" x14ac:dyDescent="0.4">
      <c r="B30" s="105">
        <v>1</v>
      </c>
      <c r="C30" s="102" t="s">
        <v>144</v>
      </c>
      <c r="D30" s="694">
        <v>0</v>
      </c>
      <c r="E30" s="695"/>
      <c r="F30" s="165">
        <v>0</v>
      </c>
      <c r="G30" s="102">
        <f>+D30*F30</f>
        <v>0</v>
      </c>
    </row>
    <row r="31" spans="2:7" thickBot="1" x14ac:dyDescent="0.4">
      <c r="B31" s="105">
        <v>2</v>
      </c>
      <c r="C31" s="102" t="s">
        <v>881</v>
      </c>
      <c r="D31" s="694">
        <f>+'Cost MOF'!D5</f>
        <v>7230000</v>
      </c>
      <c r="E31" s="695"/>
      <c r="F31" s="165">
        <v>0.6</v>
      </c>
      <c r="G31" s="102">
        <f t="shared" ref="G31:G34" si="0">+D31*F31</f>
        <v>4338000</v>
      </c>
    </row>
    <row r="32" spans="2:7" ht="29.45" thickBot="1" x14ac:dyDescent="0.4">
      <c r="B32" s="105">
        <v>3</v>
      </c>
      <c r="C32" s="102" t="s">
        <v>882</v>
      </c>
      <c r="D32" s="694">
        <f>+'Cost MOF'!D6</f>
        <v>8612700</v>
      </c>
      <c r="E32" s="695"/>
      <c r="F32" s="165">
        <v>0.6</v>
      </c>
      <c r="G32" s="102">
        <f t="shared" si="0"/>
        <v>5167620</v>
      </c>
    </row>
    <row r="33" spans="2:8" thickBot="1" x14ac:dyDescent="0.4">
      <c r="B33" s="105">
        <v>4</v>
      </c>
      <c r="C33" s="102" t="s">
        <v>328</v>
      </c>
      <c r="D33" s="694">
        <f>+'Cost MOF'!D7</f>
        <v>300400</v>
      </c>
      <c r="E33" s="695"/>
      <c r="F33" s="165">
        <v>0.6</v>
      </c>
      <c r="G33" s="102">
        <f t="shared" si="0"/>
        <v>180240</v>
      </c>
    </row>
    <row r="34" spans="2:8" thickBot="1" x14ac:dyDescent="0.4">
      <c r="B34" s="105">
        <v>5</v>
      </c>
      <c r="C34" s="102" t="s">
        <v>698</v>
      </c>
      <c r="D34" s="694">
        <f>+'Cost MOF'!D8</f>
        <v>179500</v>
      </c>
      <c r="E34" s="695"/>
      <c r="F34" s="165">
        <v>0.6</v>
      </c>
      <c r="G34" s="102">
        <f t="shared" si="0"/>
        <v>107700</v>
      </c>
    </row>
    <row r="35" spans="2:8" thickBot="1" x14ac:dyDescent="0.4">
      <c r="B35" s="105">
        <v>6</v>
      </c>
      <c r="C35" s="102" t="s">
        <v>1053</v>
      </c>
      <c r="D35" s="694">
        <f>+'Cost MOF'!D9</f>
        <v>944938</v>
      </c>
      <c r="E35" s="695"/>
      <c r="F35" s="165">
        <v>0.6</v>
      </c>
      <c r="G35" s="102">
        <f>+ROUND((D35*F35),0)</f>
        <v>566963</v>
      </c>
    </row>
    <row r="36" spans="2:8" ht="29.45" thickBot="1" x14ac:dyDescent="0.4">
      <c r="B36" s="105">
        <v>7</v>
      </c>
      <c r="C36" s="102" t="s">
        <v>883</v>
      </c>
      <c r="D36" s="694">
        <f>+'Cost MOF'!D10</f>
        <v>500000</v>
      </c>
      <c r="E36" s="695"/>
      <c r="F36" s="165">
        <v>0.6</v>
      </c>
      <c r="G36" s="102">
        <f>+ROUND((D36*F36),0)</f>
        <v>300000</v>
      </c>
    </row>
    <row r="37" spans="2:8" thickBot="1" x14ac:dyDescent="0.4">
      <c r="B37" s="105">
        <v>8</v>
      </c>
      <c r="C37" s="102" t="s">
        <v>1029</v>
      </c>
      <c r="D37" s="694">
        <f>+ROUND(('Cost MOF'!D11),0)</f>
        <v>289474</v>
      </c>
      <c r="E37" s="695"/>
      <c r="F37" s="165"/>
      <c r="G37" s="102"/>
    </row>
    <row r="38" spans="2:8" thickBot="1" x14ac:dyDescent="0.4">
      <c r="B38" s="166"/>
      <c r="C38" s="161" t="s">
        <v>1</v>
      </c>
      <c r="D38" s="694">
        <f>SUM(D30:D37)</f>
        <v>18057012</v>
      </c>
      <c r="E38" s="695"/>
      <c r="F38" s="102"/>
      <c r="G38" s="180">
        <f>SUM(G30:G37)</f>
        <v>10660523</v>
      </c>
      <c r="H38" s="181"/>
    </row>
    <row r="40" spans="2:8" ht="14.45" x14ac:dyDescent="0.35">
      <c r="B40" s="192" t="s">
        <v>884</v>
      </c>
    </row>
    <row r="41" spans="2:8" ht="14.45" x14ac:dyDescent="0.35">
      <c r="B41" s="192" t="s">
        <v>885</v>
      </c>
    </row>
  </sheetData>
  <mergeCells count="23">
    <mergeCell ref="C18:D18"/>
    <mergeCell ref="E18:F18"/>
    <mergeCell ref="B13:C13"/>
    <mergeCell ref="C16:D16"/>
    <mergeCell ref="E16:F16"/>
    <mergeCell ref="C17:D17"/>
    <mergeCell ref="E17:F17"/>
    <mergeCell ref="C19:D19"/>
    <mergeCell ref="E19:F19"/>
    <mergeCell ref="C20:D20"/>
    <mergeCell ref="E20:F20"/>
    <mergeCell ref="C21:D21"/>
    <mergeCell ref="E21:F21"/>
    <mergeCell ref="D35:E35"/>
    <mergeCell ref="D36:E36"/>
    <mergeCell ref="D38:E38"/>
    <mergeCell ref="D29:E29"/>
    <mergeCell ref="D30:E30"/>
    <mergeCell ref="D31:E31"/>
    <mergeCell ref="D32:E32"/>
    <mergeCell ref="D33:E33"/>
    <mergeCell ref="D34:E34"/>
    <mergeCell ref="D37:E37"/>
  </mergeCells>
  <pageMargins left="0.7" right="0.7" top="0.21" bottom="0.21" header="0.17" footer="0.17"/>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zoomScale="130" zoomScaleNormal="130" workbookViewId="0">
      <selection activeCell="C8" sqref="C8"/>
    </sheetView>
  </sheetViews>
  <sheetFormatPr defaultColWidth="25.85546875" defaultRowHeight="15" x14ac:dyDescent="0.25"/>
  <cols>
    <col min="1" max="1" width="4.28515625" style="192" customWidth="1"/>
    <col min="2" max="2" width="6.85546875" style="192" customWidth="1"/>
    <col min="3" max="3" width="25.85546875" style="192"/>
    <col min="4" max="4" width="18" style="192" bestFit="1" customWidth="1"/>
    <col min="5" max="11" width="9.85546875" style="192" bestFit="1" customWidth="1"/>
    <col min="12" max="16384" width="25.85546875" style="192"/>
  </cols>
  <sheetData>
    <row r="2" spans="2:11" thickBot="1" x14ac:dyDescent="0.4">
      <c r="B2" s="192" t="s">
        <v>886</v>
      </c>
    </row>
    <row r="3" spans="2:11" thickBot="1" x14ac:dyDescent="0.4">
      <c r="B3" s="120" t="s">
        <v>227</v>
      </c>
      <c r="C3" s="121" t="s">
        <v>887</v>
      </c>
      <c r="D3" s="121"/>
      <c r="E3" s="121" t="s">
        <v>2</v>
      </c>
      <c r="F3" s="121" t="s">
        <v>3</v>
      </c>
      <c r="G3" s="121" t="s">
        <v>4</v>
      </c>
      <c r="H3" s="121" t="s">
        <v>5</v>
      </c>
      <c r="I3" s="121" t="s">
        <v>6</v>
      </c>
      <c r="J3" s="121" t="s">
        <v>165</v>
      </c>
      <c r="K3" s="121" t="s">
        <v>164</v>
      </c>
    </row>
    <row r="4" spans="2:11" thickBot="1" x14ac:dyDescent="0.4">
      <c r="B4" s="123" t="s">
        <v>888</v>
      </c>
      <c r="C4" s="125" t="s">
        <v>889</v>
      </c>
      <c r="D4" s="125" t="s">
        <v>890</v>
      </c>
      <c r="E4" s="125">
        <v>0</v>
      </c>
      <c r="F4" s="125">
        <f>+E6</f>
        <v>0</v>
      </c>
      <c r="G4" s="125">
        <f t="shared" ref="G4:K4" si="0">+F6</f>
        <v>0</v>
      </c>
      <c r="H4" s="125">
        <f t="shared" si="0"/>
        <v>0</v>
      </c>
      <c r="I4" s="125">
        <f t="shared" si="0"/>
        <v>0</v>
      </c>
      <c r="J4" s="125">
        <f t="shared" si="0"/>
        <v>0</v>
      </c>
      <c r="K4" s="125">
        <f t="shared" si="0"/>
        <v>0</v>
      </c>
    </row>
    <row r="5" spans="2:11" ht="30.75" thickBot="1" x14ac:dyDescent="0.3">
      <c r="B5" s="123"/>
      <c r="C5" s="125" t="s">
        <v>1316</v>
      </c>
      <c r="D5" s="173">
        <v>0</v>
      </c>
      <c r="E5" s="125"/>
      <c r="F5" s="125"/>
      <c r="G5" s="125"/>
      <c r="H5" s="125"/>
      <c r="I5" s="125"/>
      <c r="J5" s="125"/>
      <c r="K5" s="125"/>
    </row>
    <row r="6" spans="2:11" thickBot="1" x14ac:dyDescent="0.4">
      <c r="B6" s="123"/>
      <c r="C6" s="125"/>
      <c r="D6" s="125" t="s">
        <v>891</v>
      </c>
      <c r="E6" s="125">
        <f>+E4-E5</f>
        <v>0</v>
      </c>
      <c r="F6" s="125">
        <f t="shared" ref="F6:K6" si="1">+F4-F5</f>
        <v>0</v>
      </c>
      <c r="G6" s="125">
        <f t="shared" si="1"/>
        <v>0</v>
      </c>
      <c r="H6" s="125">
        <f t="shared" si="1"/>
        <v>0</v>
      </c>
      <c r="I6" s="125">
        <f t="shared" si="1"/>
        <v>0</v>
      </c>
      <c r="J6" s="125">
        <f t="shared" si="1"/>
        <v>0</v>
      </c>
      <c r="K6" s="125">
        <f t="shared" si="1"/>
        <v>0</v>
      </c>
    </row>
    <row r="7" spans="2:11" thickBot="1" x14ac:dyDescent="0.4">
      <c r="B7" s="123"/>
      <c r="C7" s="125"/>
      <c r="D7" s="125"/>
      <c r="E7" s="125"/>
      <c r="F7" s="125"/>
      <c r="G7" s="125"/>
      <c r="H7" s="125"/>
      <c r="I7" s="125"/>
      <c r="J7" s="125"/>
      <c r="K7" s="125"/>
    </row>
    <row r="8" spans="2:11" thickBot="1" x14ac:dyDescent="0.4">
      <c r="B8" s="123" t="s">
        <v>892</v>
      </c>
      <c r="C8" s="125" t="s">
        <v>1200</v>
      </c>
      <c r="D8" s="125" t="s">
        <v>890</v>
      </c>
      <c r="E8" s="125">
        <f>+Other!C33</f>
        <v>7230000</v>
      </c>
      <c r="F8" s="125">
        <f>+E10</f>
        <v>7000809</v>
      </c>
      <c r="G8" s="125">
        <f t="shared" ref="G8:K8" si="2">+F10</f>
        <v>6771618</v>
      </c>
      <c r="H8" s="125">
        <f t="shared" si="2"/>
        <v>6542427</v>
      </c>
      <c r="I8" s="125">
        <f t="shared" si="2"/>
        <v>6313236</v>
      </c>
      <c r="J8" s="125">
        <f t="shared" si="2"/>
        <v>6084045</v>
      </c>
      <c r="K8" s="125">
        <f t="shared" si="2"/>
        <v>5854854</v>
      </c>
    </row>
    <row r="9" spans="2:11" ht="30.75" thickBot="1" x14ac:dyDescent="0.3">
      <c r="B9" s="123"/>
      <c r="C9" s="125" t="s">
        <v>1316</v>
      </c>
      <c r="D9" s="174">
        <v>3.1699999999999999E-2</v>
      </c>
      <c r="E9" s="125">
        <f>+ROUND(($E$8*$D$9),0)</f>
        <v>229191</v>
      </c>
      <c r="F9" s="125">
        <f t="shared" ref="F9:K9" si="3">+ROUND(($E$8*$D$9),0)</f>
        <v>229191</v>
      </c>
      <c r="G9" s="125">
        <f t="shared" si="3"/>
        <v>229191</v>
      </c>
      <c r="H9" s="125">
        <f t="shared" si="3"/>
        <v>229191</v>
      </c>
      <c r="I9" s="125">
        <f t="shared" si="3"/>
        <v>229191</v>
      </c>
      <c r="J9" s="125">
        <f t="shared" si="3"/>
        <v>229191</v>
      </c>
      <c r="K9" s="125">
        <f t="shared" si="3"/>
        <v>229191</v>
      </c>
    </row>
    <row r="10" spans="2:11" thickBot="1" x14ac:dyDescent="0.4">
      <c r="B10" s="123"/>
      <c r="C10" s="125"/>
      <c r="D10" s="125" t="s">
        <v>891</v>
      </c>
      <c r="E10" s="125">
        <f>+E8-E9</f>
        <v>7000809</v>
      </c>
      <c r="F10" s="125">
        <f t="shared" ref="F10:K10" si="4">+F8-F9</f>
        <v>6771618</v>
      </c>
      <c r="G10" s="125">
        <f t="shared" si="4"/>
        <v>6542427</v>
      </c>
      <c r="H10" s="125">
        <f t="shared" si="4"/>
        <v>6313236</v>
      </c>
      <c r="I10" s="125">
        <f t="shared" si="4"/>
        <v>6084045</v>
      </c>
      <c r="J10" s="125">
        <f t="shared" si="4"/>
        <v>5854854</v>
      </c>
      <c r="K10" s="125">
        <f t="shared" si="4"/>
        <v>5625663</v>
      </c>
    </row>
    <row r="11" spans="2:11" thickBot="1" x14ac:dyDescent="0.4">
      <c r="B11" s="123"/>
      <c r="C11" s="125"/>
      <c r="D11" s="125"/>
      <c r="E11" s="125"/>
      <c r="F11" s="125"/>
      <c r="G11" s="125"/>
      <c r="H11" s="125"/>
      <c r="I11" s="125"/>
      <c r="J11" s="125"/>
      <c r="K11" s="125"/>
    </row>
    <row r="12" spans="2:11" ht="30.75" thickBot="1" x14ac:dyDescent="0.3">
      <c r="B12" s="123" t="s">
        <v>893</v>
      </c>
      <c r="C12" s="125" t="s">
        <v>894</v>
      </c>
      <c r="D12" s="125" t="s">
        <v>890</v>
      </c>
      <c r="E12" s="125">
        <f>+Other!C39</f>
        <v>8612700</v>
      </c>
      <c r="F12" s="125">
        <f t="shared" ref="F12:K12" si="5">+E14</f>
        <v>8067516</v>
      </c>
      <c r="G12" s="125">
        <f t="shared" si="5"/>
        <v>7522332</v>
      </c>
      <c r="H12" s="125">
        <f t="shared" si="5"/>
        <v>6977148</v>
      </c>
      <c r="I12" s="125">
        <f t="shared" si="5"/>
        <v>6431964</v>
      </c>
      <c r="J12" s="125">
        <f t="shared" si="5"/>
        <v>5886780</v>
      </c>
      <c r="K12" s="125">
        <f t="shared" si="5"/>
        <v>5341596</v>
      </c>
    </row>
    <row r="13" spans="2:11" ht="30.75" thickBot="1" x14ac:dyDescent="0.3">
      <c r="B13" s="123"/>
      <c r="C13" s="125" t="s">
        <v>1316</v>
      </c>
      <c r="D13" s="174">
        <v>6.3299999999999995E-2</v>
      </c>
      <c r="E13" s="125">
        <f>+ROUND(($E$12*$D$13),0)</f>
        <v>545184</v>
      </c>
      <c r="F13" s="125">
        <f t="shared" ref="F13:K13" si="6">+ROUND(($E$12*$D$13),0)</f>
        <v>545184</v>
      </c>
      <c r="G13" s="125">
        <f t="shared" si="6"/>
        <v>545184</v>
      </c>
      <c r="H13" s="125">
        <f t="shared" si="6"/>
        <v>545184</v>
      </c>
      <c r="I13" s="125">
        <f t="shared" si="6"/>
        <v>545184</v>
      </c>
      <c r="J13" s="125">
        <f t="shared" si="6"/>
        <v>545184</v>
      </c>
      <c r="K13" s="125">
        <f t="shared" si="6"/>
        <v>545184</v>
      </c>
    </row>
    <row r="14" spans="2:11" thickBot="1" x14ac:dyDescent="0.4">
      <c r="B14" s="123"/>
      <c r="C14" s="125"/>
      <c r="D14" s="125" t="s">
        <v>891</v>
      </c>
      <c r="E14" s="125">
        <f>+E12-E13</f>
        <v>8067516</v>
      </c>
      <c r="F14" s="125">
        <f t="shared" ref="F14" si="7">+F12-F13</f>
        <v>7522332</v>
      </c>
      <c r="G14" s="125">
        <f t="shared" ref="G14" si="8">+G12-G13</f>
        <v>6977148</v>
      </c>
      <c r="H14" s="125">
        <f t="shared" ref="H14" si="9">+H12-H13</f>
        <v>6431964</v>
      </c>
      <c r="I14" s="125">
        <f t="shared" ref="I14" si="10">+I12-I13</f>
        <v>5886780</v>
      </c>
      <c r="J14" s="125">
        <f t="shared" ref="J14" si="11">+J12-J13</f>
        <v>5341596</v>
      </c>
      <c r="K14" s="125">
        <f t="shared" ref="K14" si="12">+K12-K13</f>
        <v>4796412</v>
      </c>
    </row>
    <row r="15" spans="2:11" thickBot="1" x14ac:dyDescent="0.4">
      <c r="B15" s="123"/>
      <c r="C15" s="125"/>
      <c r="D15" s="125"/>
      <c r="E15" s="125"/>
      <c r="F15" s="125"/>
      <c r="G15" s="125"/>
      <c r="H15" s="125"/>
      <c r="I15" s="125"/>
      <c r="J15" s="125"/>
      <c r="K15" s="125"/>
    </row>
    <row r="16" spans="2:11" thickBot="1" x14ac:dyDescent="0.4">
      <c r="B16" s="123" t="s">
        <v>895</v>
      </c>
      <c r="C16" s="125" t="s">
        <v>896</v>
      </c>
      <c r="D16" s="125" t="s">
        <v>890</v>
      </c>
      <c r="E16" s="125">
        <f>+Other!C45</f>
        <v>300400</v>
      </c>
      <c r="F16" s="125">
        <f t="shared" ref="F16:K16" si="13">+E18</f>
        <v>270360</v>
      </c>
      <c r="G16" s="125">
        <f t="shared" si="13"/>
        <v>240320</v>
      </c>
      <c r="H16" s="125">
        <f t="shared" si="13"/>
        <v>210280</v>
      </c>
      <c r="I16" s="125">
        <f t="shared" si="13"/>
        <v>180240</v>
      </c>
      <c r="J16" s="125">
        <f t="shared" si="13"/>
        <v>150200</v>
      </c>
      <c r="K16" s="125">
        <f t="shared" si="13"/>
        <v>120160</v>
      </c>
    </row>
    <row r="17" spans="2:11" ht="30.75" thickBot="1" x14ac:dyDescent="0.3">
      <c r="B17" s="123"/>
      <c r="C17" s="125" t="s">
        <v>1316</v>
      </c>
      <c r="D17" s="174">
        <v>0.1</v>
      </c>
      <c r="E17" s="125">
        <f>+$E$16*$D$17</f>
        <v>30040</v>
      </c>
      <c r="F17" s="125">
        <f t="shared" ref="F17:K17" si="14">+$E$16*$D$17</f>
        <v>30040</v>
      </c>
      <c r="G17" s="125">
        <f t="shared" si="14"/>
        <v>30040</v>
      </c>
      <c r="H17" s="125">
        <f t="shared" si="14"/>
        <v>30040</v>
      </c>
      <c r="I17" s="125">
        <f t="shared" si="14"/>
        <v>30040</v>
      </c>
      <c r="J17" s="125">
        <f t="shared" si="14"/>
        <v>30040</v>
      </c>
      <c r="K17" s="125">
        <f t="shared" si="14"/>
        <v>30040</v>
      </c>
    </row>
    <row r="18" spans="2:11" ht="15.75" thickBot="1" x14ac:dyDescent="0.3">
      <c r="B18" s="123"/>
      <c r="C18" s="125"/>
      <c r="D18" s="125" t="s">
        <v>891</v>
      </c>
      <c r="E18" s="125">
        <f t="shared" ref="E18:K18" si="15">+E16-E17</f>
        <v>270360</v>
      </c>
      <c r="F18" s="125">
        <f t="shared" si="15"/>
        <v>240320</v>
      </c>
      <c r="G18" s="125">
        <f t="shared" si="15"/>
        <v>210280</v>
      </c>
      <c r="H18" s="125">
        <f t="shared" si="15"/>
        <v>180240</v>
      </c>
      <c r="I18" s="125">
        <f t="shared" si="15"/>
        <v>150200</v>
      </c>
      <c r="J18" s="125">
        <f t="shared" si="15"/>
        <v>120160</v>
      </c>
      <c r="K18" s="125">
        <f t="shared" si="15"/>
        <v>90120</v>
      </c>
    </row>
    <row r="19" spans="2:11" ht="15.75" thickBot="1" x14ac:dyDescent="0.3">
      <c r="B19" s="123"/>
      <c r="C19" s="125"/>
      <c r="D19" s="125"/>
      <c r="E19" s="125"/>
      <c r="F19" s="125"/>
      <c r="G19" s="125"/>
      <c r="H19" s="125"/>
      <c r="I19" s="125"/>
      <c r="J19" s="125"/>
      <c r="K19" s="125"/>
    </row>
    <row r="20" spans="2:11" ht="15.75" thickBot="1" x14ac:dyDescent="0.3">
      <c r="B20" s="123" t="s">
        <v>897</v>
      </c>
      <c r="C20" s="125" t="s">
        <v>1054</v>
      </c>
      <c r="D20" s="125" t="s">
        <v>890</v>
      </c>
      <c r="E20" s="125">
        <f>+Other!C51</f>
        <v>944938</v>
      </c>
      <c r="F20" s="125">
        <f t="shared" ref="F20:K20" si="16">+E22</f>
        <v>832679</v>
      </c>
      <c r="G20" s="125">
        <f t="shared" si="16"/>
        <v>720420</v>
      </c>
      <c r="H20" s="125">
        <f t="shared" si="16"/>
        <v>608161</v>
      </c>
      <c r="I20" s="125">
        <f t="shared" si="16"/>
        <v>495902</v>
      </c>
      <c r="J20" s="125">
        <f t="shared" si="16"/>
        <v>383643</v>
      </c>
      <c r="K20" s="125">
        <f t="shared" si="16"/>
        <v>271384</v>
      </c>
    </row>
    <row r="21" spans="2:11" ht="30.75" thickBot="1" x14ac:dyDescent="0.3">
      <c r="B21" s="123"/>
      <c r="C21" s="125" t="s">
        <v>1316</v>
      </c>
      <c r="D21" s="174">
        <v>0.1188</v>
      </c>
      <c r="E21" s="125">
        <f>+ROUND(($E$20*$D$21),0)</f>
        <v>112259</v>
      </c>
      <c r="F21" s="125">
        <f t="shared" ref="F21:K21" si="17">+ROUND(($E$20*$D$21),0)</f>
        <v>112259</v>
      </c>
      <c r="G21" s="125">
        <f t="shared" si="17"/>
        <v>112259</v>
      </c>
      <c r="H21" s="125">
        <f t="shared" si="17"/>
        <v>112259</v>
      </c>
      <c r="I21" s="125">
        <f t="shared" si="17"/>
        <v>112259</v>
      </c>
      <c r="J21" s="125">
        <f t="shared" si="17"/>
        <v>112259</v>
      </c>
      <c r="K21" s="125">
        <f t="shared" si="17"/>
        <v>112259</v>
      </c>
    </row>
    <row r="22" spans="2:11" ht="15.75" thickBot="1" x14ac:dyDescent="0.3">
      <c r="B22" s="123"/>
      <c r="C22" s="125"/>
      <c r="D22" s="125" t="s">
        <v>891</v>
      </c>
      <c r="E22" s="125">
        <f t="shared" ref="E22" si="18">+E20-E21</f>
        <v>832679</v>
      </c>
      <c r="F22" s="125">
        <f t="shared" ref="F22" si="19">+F20-F21</f>
        <v>720420</v>
      </c>
      <c r="G22" s="125">
        <f t="shared" ref="G22" si="20">+G20-G21</f>
        <v>608161</v>
      </c>
      <c r="H22" s="125">
        <f t="shared" ref="H22" si="21">+H20-H21</f>
        <v>495902</v>
      </c>
      <c r="I22" s="125">
        <f t="shared" ref="I22" si="22">+I20-I21</f>
        <v>383643</v>
      </c>
      <c r="J22" s="125">
        <f t="shared" ref="J22" si="23">+J20-J21</f>
        <v>271384</v>
      </c>
      <c r="K22" s="125">
        <f t="shared" ref="K22" si="24">+K20-K21</f>
        <v>159125</v>
      </c>
    </row>
    <row r="23" spans="2:11" ht="15.75" thickBot="1" x14ac:dyDescent="0.3">
      <c r="B23" s="123"/>
      <c r="C23" s="125"/>
      <c r="D23" s="125"/>
      <c r="E23" s="125"/>
      <c r="F23" s="125"/>
      <c r="G23" s="125"/>
      <c r="H23" s="125"/>
      <c r="I23" s="125"/>
      <c r="J23" s="125"/>
      <c r="K23" s="125"/>
    </row>
    <row r="24" spans="2:11" ht="15.75" thickBot="1" x14ac:dyDescent="0.3">
      <c r="B24" s="123" t="s">
        <v>897</v>
      </c>
      <c r="C24" s="125" t="s">
        <v>898</v>
      </c>
      <c r="D24" s="125" t="s">
        <v>890</v>
      </c>
      <c r="E24" s="125">
        <f>+Other!C57</f>
        <v>179500</v>
      </c>
      <c r="F24" s="125">
        <f t="shared" ref="F24:K24" si="25">+E26</f>
        <v>161550</v>
      </c>
      <c r="G24" s="125">
        <f t="shared" si="25"/>
        <v>143600</v>
      </c>
      <c r="H24" s="125">
        <f t="shared" si="25"/>
        <v>125650</v>
      </c>
      <c r="I24" s="125">
        <f t="shared" si="25"/>
        <v>107700</v>
      </c>
      <c r="J24" s="125">
        <f t="shared" si="25"/>
        <v>89750</v>
      </c>
      <c r="K24" s="125">
        <f t="shared" si="25"/>
        <v>71800</v>
      </c>
    </row>
    <row r="25" spans="2:11" ht="30.75" thickBot="1" x14ac:dyDescent="0.3">
      <c r="B25" s="123"/>
      <c r="C25" s="125" t="s">
        <v>1316</v>
      </c>
      <c r="D25" s="174">
        <v>0.1</v>
      </c>
      <c r="E25" s="125">
        <f>+$E$24*$D$25</f>
        <v>17950</v>
      </c>
      <c r="F25" s="125">
        <f t="shared" ref="F25:K25" si="26">+$E$24*$D$25</f>
        <v>17950</v>
      </c>
      <c r="G25" s="125">
        <f t="shared" si="26"/>
        <v>17950</v>
      </c>
      <c r="H25" s="125">
        <f t="shared" si="26"/>
        <v>17950</v>
      </c>
      <c r="I25" s="125">
        <f t="shared" si="26"/>
        <v>17950</v>
      </c>
      <c r="J25" s="125">
        <f t="shared" si="26"/>
        <v>17950</v>
      </c>
      <c r="K25" s="125">
        <f t="shared" si="26"/>
        <v>17950</v>
      </c>
    </row>
    <row r="26" spans="2:11" ht="15.75" thickBot="1" x14ac:dyDescent="0.3">
      <c r="B26" s="123"/>
      <c r="C26" s="125"/>
      <c r="D26" s="125" t="s">
        <v>891</v>
      </c>
      <c r="E26" s="125">
        <f t="shared" ref="E26" si="27">+E24-E25</f>
        <v>161550</v>
      </c>
      <c r="F26" s="125">
        <f t="shared" ref="F26" si="28">+F24-F25</f>
        <v>143600</v>
      </c>
      <c r="G26" s="125">
        <f t="shared" ref="G26" si="29">+G24-G25</f>
        <v>125650</v>
      </c>
      <c r="H26" s="125">
        <f t="shared" ref="H26" si="30">+H24-H25</f>
        <v>107700</v>
      </c>
      <c r="I26" s="125">
        <f t="shared" ref="I26" si="31">+I24-I25</f>
        <v>89750</v>
      </c>
      <c r="J26" s="125">
        <f t="shared" ref="J26" si="32">+J24-J25</f>
        <v>71800</v>
      </c>
      <c r="K26" s="125">
        <f t="shared" ref="K26" si="33">+K24-K25</f>
        <v>53850</v>
      </c>
    </row>
    <row r="27" spans="2:11" ht="15.75" thickBot="1" x14ac:dyDescent="0.3">
      <c r="B27" s="123"/>
      <c r="C27" s="125"/>
      <c r="D27" s="125"/>
      <c r="E27" s="125"/>
      <c r="F27" s="125"/>
      <c r="G27" s="125"/>
      <c r="H27" s="125"/>
      <c r="I27" s="125"/>
      <c r="J27" s="125"/>
      <c r="K27" s="125"/>
    </row>
    <row r="28" spans="2:11" ht="15.75" thickBot="1" x14ac:dyDescent="0.3">
      <c r="B28" s="123"/>
      <c r="C28" s="125"/>
      <c r="D28" s="125" t="s">
        <v>899</v>
      </c>
      <c r="E28" s="125">
        <f>+E8+E12+E16+E20+E24</f>
        <v>17267538</v>
      </c>
      <c r="F28" s="125">
        <f t="shared" ref="F28:K28" si="34">+F8+F12+F16+F20+F24</f>
        <v>16332914</v>
      </c>
      <c r="G28" s="125">
        <f t="shared" si="34"/>
        <v>15398290</v>
      </c>
      <c r="H28" s="125">
        <f t="shared" si="34"/>
        <v>14463666</v>
      </c>
      <c r="I28" s="125">
        <f t="shared" si="34"/>
        <v>13529042</v>
      </c>
      <c r="J28" s="125">
        <f t="shared" si="34"/>
        <v>12594418</v>
      </c>
      <c r="K28" s="125">
        <f t="shared" si="34"/>
        <v>11659794</v>
      </c>
    </row>
    <row r="29" spans="2:11" ht="15.75" thickBot="1" x14ac:dyDescent="0.3">
      <c r="B29" s="123"/>
      <c r="C29" s="125"/>
      <c r="D29" s="125" t="s">
        <v>900</v>
      </c>
      <c r="E29" s="125">
        <f t="shared" ref="E29:K30" si="35">+E9+E13+E17+E21+E25</f>
        <v>934624</v>
      </c>
      <c r="F29" s="125">
        <f t="shared" si="35"/>
        <v>934624</v>
      </c>
      <c r="G29" s="125">
        <f t="shared" si="35"/>
        <v>934624</v>
      </c>
      <c r="H29" s="125">
        <f t="shared" si="35"/>
        <v>934624</v>
      </c>
      <c r="I29" s="125">
        <f t="shared" si="35"/>
        <v>934624</v>
      </c>
      <c r="J29" s="125">
        <f t="shared" si="35"/>
        <v>934624</v>
      </c>
      <c r="K29" s="125">
        <f t="shared" si="35"/>
        <v>934624</v>
      </c>
    </row>
    <row r="30" spans="2:11" ht="15.75" thickBot="1" x14ac:dyDescent="0.3">
      <c r="B30" s="123"/>
      <c r="C30" s="125"/>
      <c r="D30" s="125" t="s">
        <v>901</v>
      </c>
      <c r="E30" s="125">
        <f t="shared" si="35"/>
        <v>16332914</v>
      </c>
      <c r="F30" s="125">
        <f t="shared" si="35"/>
        <v>15398290</v>
      </c>
      <c r="G30" s="125">
        <f t="shared" si="35"/>
        <v>14463666</v>
      </c>
      <c r="H30" s="125">
        <f t="shared" si="35"/>
        <v>13529042</v>
      </c>
      <c r="I30" s="125">
        <f t="shared" si="35"/>
        <v>12594418</v>
      </c>
      <c r="J30" s="125">
        <f t="shared" si="35"/>
        <v>11659794</v>
      </c>
      <c r="K30" s="125">
        <f t="shared" si="35"/>
        <v>10725170</v>
      </c>
    </row>
    <row r="31" spans="2:11" x14ac:dyDescent="0.25">
      <c r="B31" s="192" t="s">
        <v>902</v>
      </c>
    </row>
  </sheetData>
  <pageMargins left="0.17" right="0.17" top="0.21" bottom="0.34" header="0.17" footer="0.17"/>
  <pageSetup paperSize="9"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topLeftCell="A25" zoomScale="130" zoomScaleNormal="130" workbookViewId="0">
      <selection activeCell="C8" sqref="C8"/>
    </sheetView>
  </sheetViews>
  <sheetFormatPr defaultColWidth="8.7109375" defaultRowHeight="15" x14ac:dyDescent="0.25"/>
  <cols>
    <col min="1" max="2" width="8.7109375" style="192"/>
    <col min="3" max="3" width="13.140625" style="192" customWidth="1"/>
    <col min="4" max="4" width="13" style="192" customWidth="1"/>
    <col min="5" max="5" width="16.7109375" style="192" customWidth="1"/>
    <col min="6" max="6" width="16.140625" style="192" customWidth="1"/>
    <col min="7" max="16384" width="8.7109375" style="192"/>
  </cols>
  <sheetData>
    <row r="2" spans="2:6" ht="14.45" x14ac:dyDescent="0.35">
      <c r="B2" s="108" t="s">
        <v>903</v>
      </c>
    </row>
    <row r="3" spans="2:6" thickBot="1" x14ac:dyDescent="0.4"/>
    <row r="4" spans="2:6" ht="75.75" thickBot="1" x14ac:dyDescent="0.3">
      <c r="B4" s="103"/>
      <c r="C4" s="104" t="s">
        <v>904</v>
      </c>
      <c r="D4" s="104" t="s">
        <v>905</v>
      </c>
      <c r="E4" s="104" t="s">
        <v>906</v>
      </c>
      <c r="F4" s="104" t="s">
        <v>907</v>
      </c>
    </row>
    <row r="5" spans="2:6" thickBot="1" x14ac:dyDescent="0.4">
      <c r="B5" s="105" t="s">
        <v>11</v>
      </c>
      <c r="C5" s="102">
        <f>+'Cost MOF'!D10</f>
        <v>500000</v>
      </c>
      <c r="D5" s="165">
        <v>0.2</v>
      </c>
      <c r="E5" s="102">
        <f>+C5*D5</f>
        <v>100000</v>
      </c>
      <c r="F5" s="102">
        <f>+C5-E5</f>
        <v>400000</v>
      </c>
    </row>
    <row r="6" spans="2:6" thickBot="1" x14ac:dyDescent="0.4">
      <c r="B6" s="105" t="s">
        <v>12</v>
      </c>
      <c r="C6" s="102">
        <f>+F5</f>
        <v>400000</v>
      </c>
      <c r="D6" s="165">
        <v>0.2</v>
      </c>
      <c r="E6" s="102">
        <f>+E5</f>
        <v>100000</v>
      </c>
      <c r="F6" s="102">
        <f t="shared" ref="F6:F9" si="0">+C6-E6</f>
        <v>300000</v>
      </c>
    </row>
    <row r="7" spans="2:6" thickBot="1" x14ac:dyDescent="0.4">
      <c r="B7" s="105" t="s">
        <v>13</v>
      </c>
      <c r="C7" s="102">
        <f t="shared" ref="C7:C9" si="1">+F6</f>
        <v>300000</v>
      </c>
      <c r="D7" s="165">
        <v>0.2</v>
      </c>
      <c r="E7" s="102">
        <f t="shared" ref="E7:E9" si="2">+E6</f>
        <v>100000</v>
      </c>
      <c r="F7" s="102">
        <f t="shared" si="0"/>
        <v>200000</v>
      </c>
    </row>
    <row r="8" spans="2:6" thickBot="1" x14ac:dyDescent="0.4">
      <c r="B8" s="105" t="s">
        <v>14</v>
      </c>
      <c r="C8" s="102">
        <f t="shared" si="1"/>
        <v>200000</v>
      </c>
      <c r="D8" s="165">
        <v>0.2</v>
      </c>
      <c r="E8" s="102">
        <f t="shared" si="2"/>
        <v>100000</v>
      </c>
      <c r="F8" s="102">
        <f t="shared" si="0"/>
        <v>100000</v>
      </c>
    </row>
    <row r="9" spans="2:6" thickBot="1" x14ac:dyDescent="0.4">
      <c r="B9" s="105" t="s">
        <v>15</v>
      </c>
      <c r="C9" s="102">
        <f t="shared" si="1"/>
        <v>100000</v>
      </c>
      <c r="D9" s="165">
        <v>0.2</v>
      </c>
      <c r="E9" s="102">
        <f t="shared" si="2"/>
        <v>100000</v>
      </c>
      <c r="F9" s="102">
        <f t="shared" si="0"/>
        <v>0</v>
      </c>
    </row>
    <row r="10" spans="2:6" thickBot="1" x14ac:dyDescent="0.4">
      <c r="B10" s="166" t="s">
        <v>1</v>
      </c>
      <c r="C10" s="102"/>
      <c r="D10" s="102"/>
      <c r="E10" s="102">
        <f>SUM(E5:E9)</f>
        <v>500000</v>
      </c>
      <c r="F10" s="102"/>
    </row>
    <row r="12" spans="2:6" ht="14.45" x14ac:dyDescent="0.35">
      <c r="B12" s="192" t="s">
        <v>902</v>
      </c>
    </row>
    <row r="15" spans="2:6" ht="14.45" x14ac:dyDescent="0.35">
      <c r="B15" s="108" t="s">
        <v>908</v>
      </c>
    </row>
    <row r="16" spans="2:6" ht="14.45" x14ac:dyDescent="0.35">
      <c r="B16" s="192" t="s">
        <v>909</v>
      </c>
      <c r="E16" s="192">
        <f>+ROUND(('Cost MOF'!E20),0)</f>
        <v>6069848</v>
      </c>
    </row>
    <row r="17" spans="2:5" ht="14.45" x14ac:dyDescent="0.35">
      <c r="B17" s="192" t="s">
        <v>910</v>
      </c>
      <c r="E17" s="346">
        <f>+TL!D5</f>
        <v>0.12</v>
      </c>
    </row>
    <row r="18" spans="2:5" ht="14.45" x14ac:dyDescent="0.35">
      <c r="B18" s="192" t="s">
        <v>911</v>
      </c>
      <c r="E18" s="192">
        <f>+TL!D6</f>
        <v>4</v>
      </c>
    </row>
    <row r="19" spans="2:5" thickBot="1" x14ac:dyDescent="0.4">
      <c r="B19" s="192" t="s">
        <v>912</v>
      </c>
      <c r="E19" s="192">
        <v>0.5</v>
      </c>
    </row>
    <row r="20" spans="2:5" ht="29.45" thickBot="1" x14ac:dyDescent="0.4">
      <c r="B20" s="167" t="s">
        <v>286</v>
      </c>
      <c r="C20" s="137" t="s">
        <v>913</v>
      </c>
      <c r="D20" s="137" t="s">
        <v>914</v>
      </c>
      <c r="E20" s="137" t="s">
        <v>20</v>
      </c>
    </row>
    <row r="21" spans="2:5" thickBot="1" x14ac:dyDescent="0.4">
      <c r="B21" s="168">
        <v>0</v>
      </c>
      <c r="C21" s="169"/>
      <c r="D21" s="97"/>
      <c r="E21" s="97"/>
    </row>
    <row r="22" spans="2:5" thickBot="1" x14ac:dyDescent="0.4">
      <c r="B22" s="168">
        <v>1</v>
      </c>
      <c r="C22" s="170">
        <f>+BS!B28</f>
        <v>5350061.4988595098</v>
      </c>
      <c r="D22" s="171">
        <f>+ROUND((CF!C26),0)</f>
        <v>719787</v>
      </c>
      <c r="E22" s="169">
        <f>+ROUND((CF!C27),0)</f>
        <v>710596</v>
      </c>
    </row>
    <row r="23" spans="2:5" thickBot="1" x14ac:dyDescent="0.4">
      <c r="B23" s="168">
        <v>2</v>
      </c>
      <c r="C23" s="170">
        <f>+BS!C28</f>
        <v>3774920.1779320715</v>
      </c>
      <c r="D23" s="171">
        <f>+CF!D26</f>
        <v>1575141.3209274388</v>
      </c>
      <c r="E23" s="172">
        <f>+CF!D27</f>
        <v>557241.88076368207</v>
      </c>
    </row>
    <row r="24" spans="2:5" thickBot="1" x14ac:dyDescent="0.4">
      <c r="B24" s="168">
        <v>3</v>
      </c>
      <c r="C24" s="170">
        <f>+BS!D28</f>
        <v>2000011.5115158991</v>
      </c>
      <c r="D24" s="171">
        <f>+CF!E26</f>
        <v>1774908.6664161715</v>
      </c>
      <c r="E24" s="172">
        <f>+CF!E27</f>
        <v>357474.53527494898</v>
      </c>
    </row>
    <row r="25" spans="2:5" thickBot="1" x14ac:dyDescent="0.4">
      <c r="B25" s="168">
        <v>4</v>
      </c>
      <c r="C25" s="170">
        <f>+BS!E28</f>
        <v>2.4738255888223648E-9</v>
      </c>
      <c r="D25" s="171">
        <f>+CF!F26</f>
        <v>2000011.511515897</v>
      </c>
      <c r="E25" s="172">
        <f>+CF!F27</f>
        <v>132371.69017522383</v>
      </c>
    </row>
    <row r="26" spans="2:5" thickBot="1" x14ac:dyDescent="0.4">
      <c r="B26" s="168">
        <v>5</v>
      </c>
      <c r="C26" s="170">
        <f>+BS!F28</f>
        <v>2.7875685936659998E-9</v>
      </c>
      <c r="D26" s="171">
        <f>+CF!G26</f>
        <v>-3.1374300484363416E-10</v>
      </c>
      <c r="E26" s="172">
        <f>+CF!G27</f>
        <v>3.1374300484363416E-10</v>
      </c>
    </row>
    <row r="27" spans="2:5" thickBot="1" x14ac:dyDescent="0.4">
      <c r="B27" s="168">
        <v>6</v>
      </c>
      <c r="C27" s="170">
        <f>+BS!G28</f>
        <v>3.1411020645526229E-9</v>
      </c>
      <c r="D27" s="171">
        <f>+CF!H26</f>
        <v>-3.5353347088662281E-10</v>
      </c>
      <c r="E27" s="172">
        <f>+CF!H27</f>
        <v>3.5353347088662281E-10</v>
      </c>
    </row>
    <row r="28" spans="2:5" thickBot="1" x14ac:dyDescent="0.4">
      <c r="B28" s="168">
        <v>7</v>
      </c>
      <c r="C28" s="170">
        <f>+BS!H28</f>
        <v>0</v>
      </c>
      <c r="D28" s="171">
        <f>+CF!I26</f>
        <v>-3.983703639844786E-10</v>
      </c>
      <c r="E28" s="172">
        <f>+CF!I27</f>
        <v>3.983703639844786E-10</v>
      </c>
    </row>
    <row r="29" spans="2:5" thickBot="1" x14ac:dyDescent="0.4">
      <c r="B29" s="168">
        <v>8</v>
      </c>
      <c r="C29" s="169"/>
      <c r="D29" s="97"/>
      <c r="E29" s="169"/>
    </row>
    <row r="30" spans="2:5" thickBot="1" x14ac:dyDescent="0.4">
      <c r="B30" s="168">
        <v>9</v>
      </c>
      <c r="C30" s="169"/>
      <c r="D30" s="97"/>
      <c r="E30" s="169"/>
    </row>
    <row r="31" spans="2:5" ht="15.75" thickBot="1" x14ac:dyDescent="0.3">
      <c r="B31" s="168">
        <v>10</v>
      </c>
      <c r="C31" s="169"/>
      <c r="D31" s="97"/>
      <c r="E31" s="169"/>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3"/>
  <sheetViews>
    <sheetView view="pageBreakPreview" zoomScale="115" zoomScaleNormal="100" zoomScaleSheetLayoutView="115" workbookViewId="0">
      <selection activeCell="B38" sqref="B38"/>
    </sheetView>
  </sheetViews>
  <sheetFormatPr defaultColWidth="8.7109375" defaultRowHeight="15" x14ac:dyDescent="0.25"/>
  <cols>
    <col min="1" max="1" width="8.7109375" style="530"/>
    <col min="2" max="2" width="7.5703125" style="530" bestFit="1" customWidth="1"/>
    <col min="3" max="3" width="41.5703125" style="530" customWidth="1"/>
    <col min="4" max="4" width="11.28515625" style="530" bestFit="1" customWidth="1"/>
    <col min="5" max="5" width="17" style="530" customWidth="1"/>
    <col min="6" max="6" width="14" style="530" bestFit="1" customWidth="1"/>
    <col min="7" max="7" width="13.7109375" style="530" bestFit="1" customWidth="1"/>
    <col min="8" max="8" width="11.5703125" style="530" bestFit="1" customWidth="1"/>
    <col min="9" max="16384" width="8.7109375" style="530"/>
  </cols>
  <sheetData>
    <row r="2" spans="1:9" ht="14.45" x14ac:dyDescent="0.35">
      <c r="A2" s="530">
        <v>2.1</v>
      </c>
      <c r="B2" s="569" t="s">
        <v>1198</v>
      </c>
      <c r="C2" s="569"/>
      <c r="D2" s="569"/>
      <c r="E2" s="569"/>
      <c r="F2" s="569"/>
      <c r="G2" s="569"/>
    </row>
    <row r="4" spans="1:9" ht="14.45" x14ac:dyDescent="0.35">
      <c r="B4" s="70" t="s">
        <v>141</v>
      </c>
      <c r="C4" s="70" t="s">
        <v>127</v>
      </c>
      <c r="D4" s="70" t="s">
        <v>130</v>
      </c>
      <c r="E4" s="71" t="s">
        <v>142</v>
      </c>
      <c r="F4" s="71" t="s">
        <v>143</v>
      </c>
      <c r="G4" s="71" t="s">
        <v>154</v>
      </c>
    </row>
    <row r="5" spans="1:9" ht="14.45" x14ac:dyDescent="0.35">
      <c r="B5" s="280">
        <v>1</v>
      </c>
      <c r="C5" s="280" t="s">
        <v>144</v>
      </c>
      <c r="D5" s="280" t="s">
        <v>145</v>
      </c>
      <c r="E5" s="281">
        <v>2</v>
      </c>
      <c r="F5" s="282"/>
      <c r="G5" s="283" t="s">
        <v>146</v>
      </c>
    </row>
    <row r="6" spans="1:9" ht="14.45" x14ac:dyDescent="0.35">
      <c r="B6" s="280">
        <v>2</v>
      </c>
      <c r="C6" s="280" t="s">
        <v>1251</v>
      </c>
      <c r="D6" s="280" t="s">
        <v>1250</v>
      </c>
      <c r="E6" s="284">
        <v>185.8</v>
      </c>
      <c r="F6" s="285">
        <f>G6/E6</f>
        <v>12701.829924650161</v>
      </c>
      <c r="G6" s="285">
        <v>2360000</v>
      </c>
      <c r="I6" s="531">
        <f>E6*1.8</f>
        <v>334.44000000000005</v>
      </c>
    </row>
    <row r="7" spans="1:9" ht="14.45" hidden="1" x14ac:dyDescent="0.35">
      <c r="B7" s="280"/>
      <c r="C7" s="280"/>
      <c r="D7" s="280"/>
      <c r="E7" s="286">
        <v>371.62</v>
      </c>
      <c r="F7" s="287">
        <v>4870000</v>
      </c>
      <c r="G7" s="285"/>
    </row>
    <row r="8" spans="1:9" ht="14.45" x14ac:dyDescent="0.35">
      <c r="B8" s="280">
        <v>3</v>
      </c>
      <c r="C8" s="280" t="s">
        <v>1252</v>
      </c>
      <c r="D8" s="280" t="s">
        <v>1250</v>
      </c>
      <c r="E8" s="284">
        <f>14.78*23.92</f>
        <v>353.5376</v>
      </c>
      <c r="F8" s="288">
        <f>G8/E8</f>
        <v>13104.784457241269</v>
      </c>
      <c r="G8" s="285">
        <f>F7/E7*E8</f>
        <v>4633034.0455303807</v>
      </c>
      <c r="I8" s="531"/>
    </row>
    <row r="9" spans="1:9" ht="14.45" x14ac:dyDescent="0.35">
      <c r="B9" s="280">
        <v>4</v>
      </c>
      <c r="C9" s="280" t="s">
        <v>1253</v>
      </c>
      <c r="D9" s="280" t="s">
        <v>1250</v>
      </c>
      <c r="E9" s="284">
        <f>E7-E8</f>
        <v>18.082400000000007</v>
      </c>
      <c r="F9" s="288">
        <f>G9/E9</f>
        <v>13104.784457241269</v>
      </c>
      <c r="G9" s="285">
        <f>F7/E7*E9</f>
        <v>236965.95446961961</v>
      </c>
      <c r="I9" s="531"/>
    </row>
    <row r="10" spans="1:9" ht="14.45" x14ac:dyDescent="0.35">
      <c r="B10" s="567" t="s">
        <v>1</v>
      </c>
      <c r="C10" s="567"/>
      <c r="D10" s="567"/>
      <c r="E10" s="567"/>
      <c r="F10" s="567"/>
      <c r="G10" s="289">
        <f>SUM(G6:G9)</f>
        <v>7230000</v>
      </c>
    </row>
    <row r="13" spans="1:9" ht="14.45" x14ac:dyDescent="0.35">
      <c r="B13" s="569" t="s">
        <v>403</v>
      </c>
      <c r="C13" s="569"/>
      <c r="D13" s="569"/>
      <c r="E13" s="569"/>
      <c r="F13" s="569"/>
      <c r="G13" s="569"/>
    </row>
    <row r="15" spans="1:9" ht="14.45" x14ac:dyDescent="0.35">
      <c r="A15" s="530">
        <v>2.2000000000000002</v>
      </c>
      <c r="B15" s="569" t="s">
        <v>151</v>
      </c>
      <c r="C15" s="569"/>
      <c r="D15" s="569"/>
      <c r="E15" s="569"/>
      <c r="F15" s="569"/>
      <c r="G15" s="569"/>
      <c r="H15" s="569"/>
    </row>
    <row r="16" spans="1:9" ht="14.45" x14ac:dyDescent="0.35">
      <c r="B16" s="532"/>
    </row>
    <row r="17" spans="2:10" ht="14.45" x14ac:dyDescent="0.35">
      <c r="B17" s="70" t="s">
        <v>141</v>
      </c>
      <c r="C17" s="70" t="s">
        <v>147</v>
      </c>
      <c r="D17" s="70" t="s">
        <v>157</v>
      </c>
      <c r="E17" s="71" t="s">
        <v>148</v>
      </c>
      <c r="F17" s="71" t="s">
        <v>149</v>
      </c>
      <c r="G17" s="71" t="s">
        <v>154</v>
      </c>
      <c r="H17" s="70" t="s">
        <v>150</v>
      </c>
    </row>
    <row r="18" spans="2:10" ht="14.45" x14ac:dyDescent="0.35">
      <c r="B18" s="282"/>
      <c r="C18" s="533"/>
      <c r="D18" s="533"/>
      <c r="E18" s="533"/>
      <c r="F18" s="533"/>
      <c r="G18" s="290"/>
      <c r="H18" s="533"/>
    </row>
    <row r="19" spans="2:10" ht="14.45" x14ac:dyDescent="0.35">
      <c r="B19" s="262" t="s">
        <v>169</v>
      </c>
      <c r="C19" s="291" t="s">
        <v>356</v>
      </c>
      <c r="D19" s="291"/>
      <c r="E19" s="262"/>
      <c r="F19" s="292"/>
      <c r="G19" s="290">
        <f t="shared" ref="G19:G31" si="0">E19*F19</f>
        <v>0</v>
      </c>
      <c r="H19" s="534"/>
    </row>
    <row r="20" spans="2:10" ht="14.45" x14ac:dyDescent="0.35">
      <c r="B20" s="293">
        <v>1</v>
      </c>
      <c r="C20" s="280" t="s">
        <v>1233</v>
      </c>
      <c r="D20" s="291"/>
      <c r="E20" s="282">
        <v>1</v>
      </c>
      <c r="F20" s="294">
        <v>850000</v>
      </c>
      <c r="G20" s="290">
        <f t="shared" si="0"/>
        <v>850000</v>
      </c>
      <c r="H20" s="534"/>
      <c r="J20" s="535">
        <f>G20/10^5</f>
        <v>8.5</v>
      </c>
    </row>
    <row r="21" spans="2:10" ht="14.45" x14ac:dyDescent="0.35">
      <c r="B21" s="293">
        <v>2</v>
      </c>
      <c r="C21" s="280" t="s">
        <v>1188</v>
      </c>
      <c r="D21" s="291"/>
      <c r="E21" s="282">
        <v>1</v>
      </c>
      <c r="F21" s="294">
        <v>205000</v>
      </c>
      <c r="G21" s="290">
        <f t="shared" si="0"/>
        <v>205000</v>
      </c>
      <c r="H21" s="534"/>
      <c r="J21" s="535">
        <f t="shared" ref="J21:J31" si="1">G21/10^5</f>
        <v>2.0499999999999998</v>
      </c>
    </row>
    <row r="22" spans="2:10" ht="14.45" x14ac:dyDescent="0.35">
      <c r="B22" s="293">
        <v>3</v>
      </c>
      <c r="C22" s="280" t="s">
        <v>1189</v>
      </c>
      <c r="D22" s="291"/>
      <c r="E22" s="282">
        <v>1</v>
      </c>
      <c r="F22" s="294">
        <v>360000</v>
      </c>
      <c r="G22" s="290">
        <f t="shared" si="0"/>
        <v>360000</v>
      </c>
      <c r="H22" s="534"/>
      <c r="J22" s="535">
        <f t="shared" si="1"/>
        <v>3.6</v>
      </c>
    </row>
    <row r="23" spans="2:10" ht="14.45" x14ac:dyDescent="0.35">
      <c r="B23" s="293">
        <v>4</v>
      </c>
      <c r="C23" s="280" t="s">
        <v>1234</v>
      </c>
      <c r="D23" s="291"/>
      <c r="E23" s="282">
        <v>1</v>
      </c>
      <c r="F23" s="294">
        <v>100000</v>
      </c>
      <c r="G23" s="290">
        <f t="shared" si="0"/>
        <v>100000</v>
      </c>
      <c r="H23" s="534"/>
      <c r="J23" s="535">
        <f t="shared" si="1"/>
        <v>1</v>
      </c>
    </row>
    <row r="24" spans="2:10" ht="14.45" x14ac:dyDescent="0.35">
      <c r="B24" s="293">
        <v>5</v>
      </c>
      <c r="C24" s="280" t="s">
        <v>1239</v>
      </c>
      <c r="D24" s="291"/>
      <c r="E24" s="282">
        <v>1</v>
      </c>
      <c r="F24" s="294">
        <v>50000</v>
      </c>
      <c r="G24" s="290">
        <f t="shared" si="0"/>
        <v>50000</v>
      </c>
      <c r="H24" s="534"/>
      <c r="J24" s="535">
        <f t="shared" si="1"/>
        <v>0.5</v>
      </c>
    </row>
    <row r="25" spans="2:10" ht="14.45" x14ac:dyDescent="0.35">
      <c r="B25" s="293">
        <v>6</v>
      </c>
      <c r="C25" s="280" t="s">
        <v>674</v>
      </c>
      <c r="D25" s="291"/>
      <c r="E25" s="282">
        <v>1</v>
      </c>
      <c r="F25" s="294">
        <v>28000</v>
      </c>
      <c r="G25" s="290">
        <f t="shared" si="0"/>
        <v>28000</v>
      </c>
      <c r="H25" s="534"/>
      <c r="J25" s="535">
        <f t="shared" si="1"/>
        <v>0.28000000000000003</v>
      </c>
    </row>
    <row r="26" spans="2:10" x14ac:dyDescent="0.25">
      <c r="B26" s="293">
        <f>B25+1</f>
        <v>7</v>
      </c>
      <c r="C26" s="280" t="s">
        <v>1235</v>
      </c>
      <c r="D26" s="291"/>
      <c r="E26" s="282">
        <v>1</v>
      </c>
      <c r="F26" s="294">
        <v>180000</v>
      </c>
      <c r="G26" s="290">
        <f t="shared" si="0"/>
        <v>180000</v>
      </c>
      <c r="H26" s="534"/>
      <c r="J26" s="535">
        <f t="shared" si="1"/>
        <v>1.8</v>
      </c>
    </row>
    <row r="27" spans="2:10" x14ac:dyDescent="0.25">
      <c r="B27" s="293">
        <f t="shared" ref="B27:B31" si="2">B26+1</f>
        <v>8</v>
      </c>
      <c r="C27" s="280" t="s">
        <v>1236</v>
      </c>
      <c r="D27" s="262"/>
      <c r="E27" s="282">
        <v>1</v>
      </c>
      <c r="F27" s="294">
        <v>32000</v>
      </c>
      <c r="G27" s="290">
        <f>E27*F27</f>
        <v>32000</v>
      </c>
      <c r="H27" s="534"/>
      <c r="J27" s="535">
        <f t="shared" si="1"/>
        <v>0.32</v>
      </c>
    </row>
    <row r="28" spans="2:10" x14ac:dyDescent="0.25">
      <c r="B28" s="293">
        <f t="shared" si="2"/>
        <v>9</v>
      </c>
      <c r="C28" s="280" t="s">
        <v>678</v>
      </c>
      <c r="D28" s="262"/>
      <c r="E28" s="282">
        <v>1</v>
      </c>
      <c r="F28" s="294">
        <v>125000</v>
      </c>
      <c r="G28" s="290">
        <f>E28*F28</f>
        <v>125000</v>
      </c>
      <c r="H28" s="534"/>
      <c r="J28" s="535">
        <f t="shared" si="1"/>
        <v>1.25</v>
      </c>
    </row>
    <row r="29" spans="2:10" x14ac:dyDescent="0.25">
      <c r="B29" s="293">
        <f t="shared" si="2"/>
        <v>10</v>
      </c>
      <c r="C29" s="280" t="s">
        <v>700</v>
      </c>
      <c r="D29" s="262"/>
      <c r="E29" s="282">
        <v>1</v>
      </c>
      <c r="F29" s="294">
        <v>27000</v>
      </c>
      <c r="G29" s="290">
        <f>E29*F29</f>
        <v>27000</v>
      </c>
      <c r="H29" s="534"/>
      <c r="J29" s="535">
        <f t="shared" si="1"/>
        <v>0.27</v>
      </c>
    </row>
    <row r="30" spans="2:10" x14ac:dyDescent="0.25">
      <c r="B30" s="293">
        <f t="shared" si="2"/>
        <v>11</v>
      </c>
      <c r="C30" s="280" t="s">
        <v>1238</v>
      </c>
      <c r="D30" s="291"/>
      <c r="E30" s="282">
        <v>1</v>
      </c>
      <c r="F30" s="294">
        <v>145000</v>
      </c>
      <c r="G30" s="290">
        <f t="shared" si="0"/>
        <v>145000</v>
      </c>
      <c r="H30" s="534"/>
      <c r="J30" s="535">
        <f t="shared" si="1"/>
        <v>1.45</v>
      </c>
    </row>
    <row r="31" spans="2:10" x14ac:dyDescent="0.25">
      <c r="B31" s="293">
        <f t="shared" si="2"/>
        <v>12</v>
      </c>
      <c r="C31" s="280" t="s">
        <v>1237</v>
      </c>
      <c r="D31" s="262"/>
      <c r="E31" s="282">
        <v>1</v>
      </c>
      <c r="F31" s="294">
        <v>272000</v>
      </c>
      <c r="G31" s="290">
        <f t="shared" si="0"/>
        <v>272000</v>
      </c>
      <c r="H31" s="534"/>
      <c r="J31" s="535">
        <f t="shared" si="1"/>
        <v>2.72</v>
      </c>
    </row>
    <row r="32" spans="2:10" x14ac:dyDescent="0.25">
      <c r="B32" s="567" t="s">
        <v>167</v>
      </c>
      <c r="C32" s="567"/>
      <c r="D32" s="262"/>
      <c r="E32" s="262"/>
      <c r="F32" s="289"/>
      <c r="G32" s="289">
        <f>SUM(G19:G31)</f>
        <v>2374000</v>
      </c>
      <c r="H32" s="290">
        <f>SUM(H19:H28)</f>
        <v>0</v>
      </c>
    </row>
    <row r="33" spans="2:10" x14ac:dyDescent="0.25">
      <c r="B33" s="262" t="s">
        <v>170</v>
      </c>
      <c r="C33" s="291" t="s">
        <v>1314</v>
      </c>
      <c r="D33" s="282"/>
      <c r="E33" s="282"/>
      <c r="F33" s="290"/>
      <c r="G33" s="290"/>
      <c r="H33" s="533"/>
    </row>
    <row r="34" spans="2:10" x14ac:dyDescent="0.25">
      <c r="B34" s="293">
        <v>1</v>
      </c>
      <c r="C34" s="280" t="s">
        <v>1240</v>
      </c>
      <c r="D34" s="282"/>
      <c r="E34" s="282">
        <v>4</v>
      </c>
      <c r="F34" s="290">
        <v>95000</v>
      </c>
      <c r="G34" s="290">
        <f>E34*F34</f>
        <v>380000</v>
      </c>
      <c r="H34" s="533">
        <v>4</v>
      </c>
    </row>
    <row r="35" spans="2:10" x14ac:dyDescent="0.25">
      <c r="B35" s="293">
        <v>2</v>
      </c>
      <c r="C35" s="280" t="s">
        <v>1241</v>
      </c>
      <c r="D35" s="280"/>
      <c r="E35" s="282">
        <v>1</v>
      </c>
      <c r="F35" s="290">
        <v>410000</v>
      </c>
      <c r="G35" s="290">
        <f t="shared" ref="G35:G41" si="3">E35*F35</f>
        <v>410000</v>
      </c>
      <c r="H35" s="533">
        <v>3</v>
      </c>
    </row>
    <row r="36" spans="2:10" x14ac:dyDescent="0.25">
      <c r="B36" s="293">
        <v>3</v>
      </c>
      <c r="C36" s="280" t="s">
        <v>681</v>
      </c>
      <c r="D36" s="282"/>
      <c r="E36" s="282">
        <v>1</v>
      </c>
      <c r="F36" s="290">
        <v>415000</v>
      </c>
      <c r="G36" s="290">
        <f t="shared" si="3"/>
        <v>415000</v>
      </c>
      <c r="H36" s="533">
        <v>27</v>
      </c>
    </row>
    <row r="37" spans="2:10" x14ac:dyDescent="0.25">
      <c r="B37" s="293">
        <v>4</v>
      </c>
      <c r="C37" s="280" t="s">
        <v>1191</v>
      </c>
      <c r="D37" s="282"/>
      <c r="E37" s="282">
        <v>1</v>
      </c>
      <c r="F37" s="290">
        <v>235000</v>
      </c>
      <c r="G37" s="290">
        <f t="shared" si="3"/>
        <v>235000</v>
      </c>
      <c r="H37" s="533">
        <v>2</v>
      </c>
    </row>
    <row r="38" spans="2:10" x14ac:dyDescent="0.25">
      <c r="B38" s="293">
        <v>5</v>
      </c>
      <c r="C38" s="280" t="s">
        <v>1192</v>
      </c>
      <c r="D38" s="282"/>
      <c r="E38" s="282">
        <v>1</v>
      </c>
      <c r="F38" s="290">
        <v>440000</v>
      </c>
      <c r="G38" s="290">
        <f t="shared" si="3"/>
        <v>440000</v>
      </c>
      <c r="H38" s="533">
        <v>2</v>
      </c>
    </row>
    <row r="39" spans="2:10" ht="15.75" customHeight="1" x14ac:dyDescent="0.25">
      <c r="B39" s="293">
        <v>6</v>
      </c>
      <c r="C39" s="280" t="s">
        <v>1193</v>
      </c>
      <c r="D39" s="282"/>
      <c r="E39" s="282">
        <v>1</v>
      </c>
      <c r="F39" s="290">
        <v>140000</v>
      </c>
      <c r="G39" s="290">
        <f t="shared" si="3"/>
        <v>140000</v>
      </c>
      <c r="H39" s="533">
        <v>5</v>
      </c>
    </row>
    <row r="40" spans="2:10" x14ac:dyDescent="0.25">
      <c r="B40" s="293">
        <v>7</v>
      </c>
      <c r="C40" s="280" t="s">
        <v>1242</v>
      </c>
      <c r="D40" s="282"/>
      <c r="E40" s="282">
        <v>1</v>
      </c>
      <c r="F40" s="290">
        <v>750000</v>
      </c>
      <c r="G40" s="290">
        <f t="shared" si="3"/>
        <v>750000</v>
      </c>
      <c r="H40" s="533">
        <v>30</v>
      </c>
    </row>
    <row r="41" spans="2:10" x14ac:dyDescent="0.25">
      <c r="B41" s="293">
        <v>8</v>
      </c>
      <c r="C41" s="280" t="s">
        <v>1243</v>
      </c>
      <c r="D41" s="282"/>
      <c r="E41" s="295">
        <v>0.05</v>
      </c>
      <c r="F41" s="290">
        <f>SUM(G34:G40)</f>
        <v>2770000</v>
      </c>
      <c r="G41" s="290">
        <f t="shared" si="3"/>
        <v>138500</v>
      </c>
      <c r="H41" s="533"/>
    </row>
    <row r="42" spans="2:10" x14ac:dyDescent="0.25">
      <c r="B42" s="293"/>
      <c r="C42" s="293" t="s">
        <v>167</v>
      </c>
      <c r="D42" s="282"/>
      <c r="E42" s="282"/>
      <c r="F42" s="290"/>
      <c r="G42" s="289">
        <f>SUM(G34:G41)</f>
        <v>2908500</v>
      </c>
      <c r="H42" s="289">
        <f>SUM(H34:H41)</f>
        <v>73</v>
      </c>
    </row>
    <row r="43" spans="2:10" x14ac:dyDescent="0.25">
      <c r="B43" s="293"/>
      <c r="C43" s="293"/>
      <c r="D43" s="282"/>
      <c r="E43" s="282"/>
      <c r="F43" s="290"/>
      <c r="G43" s="290"/>
      <c r="H43" s="533"/>
    </row>
    <row r="44" spans="2:10" x14ac:dyDescent="0.25">
      <c r="B44" s="293">
        <v>8</v>
      </c>
      <c r="C44" s="280" t="s">
        <v>1315</v>
      </c>
      <c r="D44" s="282"/>
      <c r="E44" s="282">
        <v>1</v>
      </c>
      <c r="F44" s="290">
        <v>513300</v>
      </c>
      <c r="G44" s="290">
        <f t="shared" ref="G44:G45" si="4">F44</f>
        <v>513300</v>
      </c>
      <c r="H44" s="533">
        <v>2</v>
      </c>
      <c r="J44" s="535">
        <f t="shared" ref="J44:J53" si="5">G44/10^5</f>
        <v>5.133</v>
      </c>
    </row>
    <row r="45" spans="2:10" ht="30" x14ac:dyDescent="0.25">
      <c r="B45" s="293">
        <v>9</v>
      </c>
      <c r="C45" s="280" t="s">
        <v>1244</v>
      </c>
      <c r="D45" s="282"/>
      <c r="E45" s="282">
        <v>1</v>
      </c>
      <c r="F45" s="290">
        <f>472000*1.05</f>
        <v>495600</v>
      </c>
      <c r="G45" s="290">
        <f t="shared" si="4"/>
        <v>495600</v>
      </c>
      <c r="H45" s="533">
        <v>2.5</v>
      </c>
      <c r="J45" s="535">
        <f t="shared" si="5"/>
        <v>4.9560000000000004</v>
      </c>
    </row>
    <row r="46" spans="2:10" ht="30" x14ac:dyDescent="0.25">
      <c r="B46" s="293">
        <v>11</v>
      </c>
      <c r="C46" s="280" t="s">
        <v>1232</v>
      </c>
      <c r="D46" s="282"/>
      <c r="E46" s="282">
        <v>1</v>
      </c>
      <c r="F46" s="290">
        <v>800000</v>
      </c>
      <c r="G46" s="290">
        <f t="shared" ref="G46" si="6">F46</f>
        <v>800000</v>
      </c>
      <c r="H46" s="533">
        <v>3</v>
      </c>
      <c r="J46" s="535">
        <f t="shared" si="5"/>
        <v>8</v>
      </c>
    </row>
    <row r="47" spans="2:10" x14ac:dyDescent="0.25">
      <c r="B47" s="293">
        <v>10</v>
      </c>
      <c r="C47" s="280" t="s">
        <v>1245</v>
      </c>
      <c r="D47" s="282"/>
      <c r="E47" s="282">
        <v>1</v>
      </c>
      <c r="F47" s="290">
        <v>520000</v>
      </c>
      <c r="G47" s="290">
        <f>F47</f>
        <v>520000</v>
      </c>
      <c r="H47" s="533">
        <v>1.5</v>
      </c>
      <c r="J47" s="535">
        <f t="shared" si="5"/>
        <v>5.2</v>
      </c>
    </row>
    <row r="48" spans="2:10" x14ac:dyDescent="0.25">
      <c r="B48" s="293">
        <v>12</v>
      </c>
      <c r="C48" s="280" t="s">
        <v>1246</v>
      </c>
      <c r="D48" s="282"/>
      <c r="E48" s="282">
        <v>1</v>
      </c>
      <c r="F48" s="290">
        <v>120000</v>
      </c>
      <c r="G48" s="290">
        <f t="shared" ref="G48:G52" si="7">E48*F48</f>
        <v>120000</v>
      </c>
      <c r="H48" s="533"/>
      <c r="J48" s="535">
        <f t="shared" si="5"/>
        <v>1.2</v>
      </c>
    </row>
    <row r="49" spans="2:10" x14ac:dyDescent="0.25">
      <c r="B49" s="293">
        <v>13</v>
      </c>
      <c r="C49" s="280" t="s">
        <v>1247</v>
      </c>
      <c r="D49" s="282"/>
      <c r="E49" s="282">
        <v>1</v>
      </c>
      <c r="F49" s="290">
        <v>680000</v>
      </c>
      <c r="G49" s="290">
        <f t="shared" si="7"/>
        <v>680000</v>
      </c>
      <c r="H49" s="533"/>
      <c r="J49" s="535">
        <f t="shared" si="5"/>
        <v>6.8</v>
      </c>
    </row>
    <row r="50" spans="2:10" x14ac:dyDescent="0.25">
      <c r="B50" s="293">
        <v>14</v>
      </c>
      <c r="C50" s="280" t="s">
        <v>1248</v>
      </c>
      <c r="D50" s="282"/>
      <c r="E50" s="282">
        <v>200</v>
      </c>
      <c r="F50" s="290">
        <v>810</v>
      </c>
      <c r="G50" s="290">
        <f t="shared" si="7"/>
        <v>162000</v>
      </c>
      <c r="H50" s="533"/>
      <c r="J50" s="535">
        <f t="shared" si="5"/>
        <v>1.62</v>
      </c>
    </row>
    <row r="51" spans="2:10" x14ac:dyDescent="0.25">
      <c r="B51" s="293">
        <v>15</v>
      </c>
      <c r="C51" s="280" t="s">
        <v>684</v>
      </c>
      <c r="D51" s="280"/>
      <c r="E51" s="282">
        <v>1</v>
      </c>
      <c r="F51" s="290">
        <v>18700</v>
      </c>
      <c r="G51" s="290">
        <f t="shared" si="7"/>
        <v>18700</v>
      </c>
      <c r="H51" s="533"/>
      <c r="J51" s="535">
        <f t="shared" si="5"/>
        <v>0.187</v>
      </c>
    </row>
    <row r="52" spans="2:10" x14ac:dyDescent="0.25">
      <c r="B52" s="293">
        <v>16</v>
      </c>
      <c r="C52" s="280" t="s">
        <v>685</v>
      </c>
      <c r="D52" s="280"/>
      <c r="E52" s="282">
        <v>1</v>
      </c>
      <c r="F52" s="290">
        <v>13600</v>
      </c>
      <c r="G52" s="290">
        <f t="shared" si="7"/>
        <v>13600</v>
      </c>
      <c r="H52" s="533"/>
      <c r="J52" s="535">
        <f t="shared" si="5"/>
        <v>0.13600000000000001</v>
      </c>
    </row>
    <row r="53" spans="2:10" x14ac:dyDescent="0.25">
      <c r="B53" s="293">
        <v>17</v>
      </c>
      <c r="C53" s="280" t="s">
        <v>686</v>
      </c>
      <c r="D53" s="280"/>
      <c r="E53" s="282">
        <v>1</v>
      </c>
      <c r="F53" s="290">
        <v>7000</v>
      </c>
      <c r="G53" s="290">
        <f t="shared" ref="G53" si="8">F53</f>
        <v>7000</v>
      </c>
      <c r="H53" s="533"/>
      <c r="J53" s="535">
        <f t="shared" si="5"/>
        <v>7.0000000000000007E-2</v>
      </c>
    </row>
    <row r="54" spans="2:10" s="536" customFormat="1" x14ac:dyDescent="0.25">
      <c r="B54" s="296"/>
      <c r="C54" s="296" t="s">
        <v>167</v>
      </c>
      <c r="D54" s="291"/>
      <c r="E54" s="262"/>
      <c r="F54" s="289"/>
      <c r="G54" s="289">
        <f>SUM(G44:G53)</f>
        <v>3330200</v>
      </c>
      <c r="H54" s="289">
        <f>SUM(H44:H53)</f>
        <v>9</v>
      </c>
    </row>
    <row r="55" spans="2:10" ht="14.45" hidden="1" x14ac:dyDescent="0.35">
      <c r="B55" s="567"/>
      <c r="C55" s="567"/>
      <c r="D55" s="262"/>
      <c r="E55" s="262"/>
      <c r="F55" s="289"/>
      <c r="G55" s="289"/>
      <c r="H55" s="289">
        <f>SUM(H35:H54)</f>
        <v>160</v>
      </c>
    </row>
    <row r="56" spans="2:10" ht="14.45" hidden="1" x14ac:dyDescent="0.35">
      <c r="B56" s="282"/>
      <c r="C56" s="280"/>
      <c r="D56" s="282"/>
      <c r="E56" s="282"/>
      <c r="F56" s="290"/>
      <c r="G56" s="290"/>
      <c r="H56" s="533"/>
    </row>
    <row r="57" spans="2:10" ht="14.45" hidden="1" x14ac:dyDescent="0.35">
      <c r="B57" s="262" t="s">
        <v>171</v>
      </c>
      <c r="C57" s="291" t="s">
        <v>357</v>
      </c>
      <c r="D57" s="282"/>
      <c r="E57" s="282"/>
      <c r="F57" s="290"/>
      <c r="G57" s="290">
        <f t="shared" ref="G57:G58" si="9">E57*F57</f>
        <v>0</v>
      </c>
      <c r="H57" s="533"/>
    </row>
    <row r="58" spans="2:10" ht="14.45" hidden="1" x14ac:dyDescent="0.35">
      <c r="B58" s="293"/>
      <c r="C58" s="280"/>
      <c r="D58" s="280"/>
      <c r="E58" s="282"/>
      <c r="F58" s="290"/>
      <c r="G58" s="290">
        <f t="shared" si="9"/>
        <v>0</v>
      </c>
      <c r="H58" s="533"/>
    </row>
    <row r="59" spans="2:10" ht="14.45" hidden="1" x14ac:dyDescent="0.35">
      <c r="B59" s="567" t="s">
        <v>167</v>
      </c>
      <c r="C59" s="567"/>
      <c r="D59" s="280"/>
      <c r="E59" s="282"/>
      <c r="F59" s="290"/>
      <c r="G59" s="290">
        <f>SUM(G57:G58)</f>
        <v>0</v>
      </c>
      <c r="H59" s="290">
        <f>SUM(H57:H58)</f>
        <v>0</v>
      </c>
    </row>
    <row r="60" spans="2:10" ht="14.45" hidden="1" x14ac:dyDescent="0.35">
      <c r="B60" s="262"/>
      <c r="C60" s="262"/>
      <c r="D60" s="280"/>
      <c r="E60" s="282"/>
      <c r="F60" s="290"/>
      <c r="G60" s="290"/>
      <c r="H60" s="290"/>
    </row>
    <row r="61" spans="2:10" ht="14.45" hidden="1" x14ac:dyDescent="0.35">
      <c r="B61" s="262" t="s">
        <v>172</v>
      </c>
      <c r="C61" s="262" t="s">
        <v>671</v>
      </c>
      <c r="D61" s="280"/>
      <c r="E61" s="282"/>
      <c r="F61" s="290"/>
      <c r="G61" s="290">
        <f>E61*F61</f>
        <v>0</v>
      </c>
      <c r="H61" s="290"/>
    </row>
    <row r="62" spans="2:10" ht="14.45" hidden="1" x14ac:dyDescent="0.35">
      <c r="B62" s="262"/>
      <c r="C62" s="262"/>
      <c r="D62" s="280"/>
      <c r="E62" s="282"/>
      <c r="F62" s="290"/>
      <c r="G62" s="290">
        <f t="shared" ref="G62:G63" si="10">E62*F62</f>
        <v>0</v>
      </c>
      <c r="H62" s="290"/>
    </row>
    <row r="63" spans="2:10" ht="14.45" hidden="1" x14ac:dyDescent="0.35">
      <c r="B63" s="262"/>
      <c r="C63" s="291"/>
      <c r="D63" s="280"/>
      <c r="E63" s="282"/>
      <c r="F63" s="290"/>
      <c r="G63" s="290">
        <f t="shared" si="10"/>
        <v>0</v>
      </c>
      <c r="H63" s="533"/>
    </row>
    <row r="64" spans="2:10" ht="14.45" hidden="1" x14ac:dyDescent="0.35">
      <c r="B64" s="567" t="s">
        <v>167</v>
      </c>
      <c r="C64" s="567"/>
      <c r="D64" s="280"/>
      <c r="E64" s="282"/>
      <c r="F64" s="290"/>
      <c r="G64" s="290">
        <f>SUM(G61:G63)</f>
        <v>0</v>
      </c>
      <c r="H64" s="290">
        <f>SUM(H61:H63)</f>
        <v>0</v>
      </c>
    </row>
    <row r="65" spans="1:11" ht="14.45" hidden="1" x14ac:dyDescent="0.35">
      <c r="B65" s="282"/>
      <c r="C65" s="280"/>
      <c r="D65" s="280"/>
      <c r="E65" s="282"/>
      <c r="F65" s="290"/>
      <c r="G65" s="290"/>
      <c r="H65" s="533"/>
    </row>
    <row r="66" spans="1:11" x14ac:dyDescent="0.25">
      <c r="B66" s="567" t="s">
        <v>1</v>
      </c>
      <c r="C66" s="567"/>
      <c r="D66" s="567"/>
      <c r="E66" s="567"/>
      <c r="F66" s="567"/>
      <c r="G66" s="289">
        <f>G54+G42+G32</f>
        <v>8612700</v>
      </c>
      <c r="H66" s="289">
        <f>H54+H42+H32</f>
        <v>82</v>
      </c>
    </row>
    <row r="67" spans="1:11" x14ac:dyDescent="0.25">
      <c r="B67" s="532"/>
      <c r="G67" s="537">
        <v>8205850</v>
      </c>
    </row>
    <row r="68" spans="1:11" x14ac:dyDescent="0.25">
      <c r="B68" s="569" t="s">
        <v>404</v>
      </c>
      <c r="C68" s="569"/>
      <c r="D68" s="569"/>
      <c r="E68" s="569"/>
      <c r="F68" s="569"/>
      <c r="G68" s="569"/>
      <c r="H68" s="569"/>
    </row>
    <row r="69" spans="1:11" x14ac:dyDescent="0.25">
      <c r="B69" s="532"/>
      <c r="G69" s="538"/>
      <c r="I69" s="532"/>
      <c r="J69" s="532"/>
      <c r="K69" s="539"/>
    </row>
    <row r="75" spans="1:11" x14ac:dyDescent="0.25">
      <c r="A75" s="530">
        <v>2.2999999999999998</v>
      </c>
      <c r="B75" s="569" t="s">
        <v>367</v>
      </c>
      <c r="C75" s="569"/>
      <c r="D75" s="569"/>
      <c r="E75" s="569"/>
      <c r="F75" s="569"/>
    </row>
    <row r="77" spans="1:11" ht="30" x14ac:dyDescent="0.25">
      <c r="B77" s="70" t="s">
        <v>141</v>
      </c>
      <c r="C77" s="70" t="s">
        <v>127</v>
      </c>
      <c r="D77" s="70" t="s">
        <v>148</v>
      </c>
      <c r="E77" s="71" t="s">
        <v>149</v>
      </c>
      <c r="F77" s="71" t="s">
        <v>154</v>
      </c>
    </row>
    <row r="78" spans="1:11" x14ac:dyDescent="0.25">
      <c r="B78" s="282">
        <v>1</v>
      </c>
      <c r="C78" s="280" t="s">
        <v>692</v>
      </c>
      <c r="D78" s="282">
        <v>1</v>
      </c>
      <c r="E78" s="297">
        <v>228400</v>
      </c>
      <c r="F78" s="290">
        <f t="shared" ref="F78:F83" si="11">D78*E78</f>
        <v>228400</v>
      </c>
    </row>
    <row r="79" spans="1:11" x14ac:dyDescent="0.25">
      <c r="B79" s="282">
        <v>2</v>
      </c>
      <c r="C79" s="280" t="s">
        <v>693</v>
      </c>
      <c r="D79" s="282">
        <v>1</v>
      </c>
      <c r="E79" s="297">
        <v>22000</v>
      </c>
      <c r="F79" s="290">
        <f t="shared" si="11"/>
        <v>22000</v>
      </c>
    </row>
    <row r="80" spans="1:11" x14ac:dyDescent="0.25">
      <c r="B80" s="282">
        <v>3</v>
      </c>
      <c r="C80" s="280" t="s">
        <v>694</v>
      </c>
      <c r="D80" s="282">
        <v>1</v>
      </c>
      <c r="E80" s="297">
        <v>50000</v>
      </c>
      <c r="F80" s="290">
        <f t="shared" si="11"/>
        <v>50000</v>
      </c>
    </row>
    <row r="81" spans="1:7" x14ac:dyDescent="0.25">
      <c r="B81" s="282"/>
      <c r="C81" s="280"/>
      <c r="D81" s="282"/>
      <c r="E81" s="297"/>
      <c r="F81" s="290">
        <f t="shared" si="11"/>
        <v>0</v>
      </c>
    </row>
    <row r="82" spans="1:7" x14ac:dyDescent="0.25">
      <c r="B82" s="282"/>
      <c r="C82" s="280"/>
      <c r="D82" s="282"/>
      <c r="E82" s="297"/>
      <c r="F82" s="290">
        <f t="shared" si="11"/>
        <v>0</v>
      </c>
    </row>
    <row r="83" spans="1:7" x14ac:dyDescent="0.25">
      <c r="B83" s="282"/>
      <c r="C83" s="280"/>
      <c r="D83" s="282"/>
      <c r="E83" s="297"/>
      <c r="F83" s="290">
        <f t="shared" si="11"/>
        <v>0</v>
      </c>
    </row>
    <row r="84" spans="1:7" x14ac:dyDescent="0.25">
      <c r="B84" s="567" t="s">
        <v>1</v>
      </c>
      <c r="C84" s="567"/>
      <c r="D84" s="567"/>
      <c r="E84" s="567"/>
      <c r="F84" s="289">
        <f>SUM(F78:F83)</f>
        <v>300400</v>
      </c>
    </row>
    <row r="86" spans="1:7" x14ac:dyDescent="0.25">
      <c r="A86" s="569" t="s">
        <v>405</v>
      </c>
      <c r="B86" s="569"/>
      <c r="C86" s="569"/>
      <c r="D86" s="569"/>
      <c r="E86" s="569"/>
      <c r="F86" s="569"/>
      <c r="G86" s="569"/>
    </row>
    <row r="89" spans="1:7" x14ac:dyDescent="0.25">
      <c r="A89" s="530">
        <v>2.4</v>
      </c>
      <c r="B89" s="569" t="s">
        <v>701</v>
      </c>
      <c r="C89" s="569"/>
      <c r="D89" s="569"/>
      <c r="E89" s="569"/>
      <c r="F89" s="569"/>
    </row>
    <row r="91" spans="1:7" ht="30" x14ac:dyDescent="0.25">
      <c r="B91" s="70" t="s">
        <v>141</v>
      </c>
      <c r="C91" s="70" t="s">
        <v>127</v>
      </c>
      <c r="D91" s="70" t="s">
        <v>148</v>
      </c>
      <c r="E91" s="71" t="s">
        <v>149</v>
      </c>
      <c r="F91" s="71" t="s">
        <v>154</v>
      </c>
    </row>
    <row r="92" spans="1:7" x14ac:dyDescent="0.25">
      <c r="B92" s="293">
        <v>1</v>
      </c>
      <c r="C92" s="280" t="s">
        <v>1040</v>
      </c>
      <c r="D92" s="282">
        <v>2</v>
      </c>
      <c r="E92" s="297">
        <v>49500</v>
      </c>
      <c r="F92" s="290">
        <f t="shared" ref="F92:F97" si="12">D92*E92</f>
        <v>99000</v>
      </c>
    </row>
    <row r="93" spans="1:7" x14ac:dyDescent="0.25">
      <c r="B93" s="293">
        <v>2</v>
      </c>
      <c r="C93" s="280" t="s">
        <v>691</v>
      </c>
      <c r="D93" s="282">
        <v>1</v>
      </c>
      <c r="E93" s="297">
        <v>21240</v>
      </c>
      <c r="F93" s="290">
        <f t="shared" si="12"/>
        <v>21240</v>
      </c>
    </row>
    <row r="94" spans="1:7" x14ac:dyDescent="0.25">
      <c r="B94" s="293">
        <v>3</v>
      </c>
      <c r="C94" s="280" t="s">
        <v>1041</v>
      </c>
      <c r="D94" s="282">
        <v>1</v>
      </c>
      <c r="E94" s="297">
        <v>25410</v>
      </c>
      <c r="F94" s="290">
        <f t="shared" si="12"/>
        <v>25410</v>
      </c>
    </row>
    <row r="95" spans="1:7" x14ac:dyDescent="0.25">
      <c r="B95" s="293">
        <v>4</v>
      </c>
      <c r="C95" s="280" t="s">
        <v>1042</v>
      </c>
      <c r="D95" s="282">
        <v>1</v>
      </c>
      <c r="E95" s="297">
        <v>33850</v>
      </c>
      <c r="F95" s="290">
        <f t="shared" si="12"/>
        <v>33850</v>
      </c>
    </row>
    <row r="96" spans="1:7" x14ac:dyDescent="0.25">
      <c r="B96" s="293"/>
      <c r="C96" s="280"/>
      <c r="D96" s="282"/>
      <c r="E96" s="297"/>
      <c r="F96" s="290">
        <f t="shared" si="12"/>
        <v>0</v>
      </c>
    </row>
    <row r="97" spans="1:7" x14ac:dyDescent="0.25">
      <c r="B97" s="293"/>
      <c r="C97" s="280"/>
      <c r="D97" s="282"/>
      <c r="E97" s="297"/>
      <c r="F97" s="290">
        <f t="shared" si="12"/>
        <v>0</v>
      </c>
    </row>
    <row r="98" spans="1:7" x14ac:dyDescent="0.25">
      <c r="B98" s="567" t="s">
        <v>1</v>
      </c>
      <c r="C98" s="567"/>
      <c r="D98" s="567"/>
      <c r="E98" s="567"/>
      <c r="F98" s="289">
        <f>SUM(F92:F97)</f>
        <v>179500</v>
      </c>
    </row>
    <row r="100" spans="1:7" x14ac:dyDescent="0.25">
      <c r="A100" s="569" t="s">
        <v>405</v>
      </c>
      <c r="B100" s="569"/>
      <c r="C100" s="569"/>
      <c r="D100" s="569"/>
      <c r="E100" s="569"/>
      <c r="F100" s="569"/>
      <c r="G100" s="569"/>
    </row>
    <row r="103" spans="1:7" x14ac:dyDescent="0.25">
      <c r="A103" s="530">
        <v>2.5</v>
      </c>
      <c r="B103" s="569" t="s">
        <v>702</v>
      </c>
      <c r="C103" s="569"/>
      <c r="D103" s="569"/>
      <c r="E103" s="569"/>
      <c r="F103" s="569"/>
    </row>
    <row r="105" spans="1:7" ht="30" x14ac:dyDescent="0.25">
      <c r="B105" s="70" t="s">
        <v>141</v>
      </c>
      <c r="C105" s="70" t="s">
        <v>127</v>
      </c>
      <c r="D105" s="70" t="s">
        <v>148</v>
      </c>
      <c r="E105" s="71" t="s">
        <v>149</v>
      </c>
      <c r="F105" s="71" t="s">
        <v>154</v>
      </c>
    </row>
    <row r="106" spans="1:7" x14ac:dyDescent="0.25">
      <c r="B106" s="282">
        <v>1</v>
      </c>
      <c r="C106" s="280" t="s">
        <v>666</v>
      </c>
      <c r="D106" s="282">
        <v>1</v>
      </c>
      <c r="E106" s="297">
        <v>944938</v>
      </c>
      <c r="F106" s="290">
        <f>E106*D106</f>
        <v>944938</v>
      </c>
    </row>
    <row r="107" spans="1:7" x14ac:dyDescent="0.25">
      <c r="B107" s="282"/>
      <c r="C107" s="280"/>
      <c r="D107" s="282"/>
      <c r="E107" s="297"/>
      <c r="F107" s="290">
        <f>E107*D107</f>
        <v>0</v>
      </c>
    </row>
    <row r="108" spans="1:7" x14ac:dyDescent="0.25">
      <c r="B108" s="282"/>
      <c r="C108" s="280"/>
      <c r="D108" s="282"/>
      <c r="E108" s="297"/>
      <c r="F108" s="290">
        <f>E108*D108</f>
        <v>0</v>
      </c>
    </row>
    <row r="109" spans="1:7" x14ac:dyDescent="0.25">
      <c r="B109" s="567" t="s">
        <v>1</v>
      </c>
      <c r="C109" s="567"/>
      <c r="D109" s="567"/>
      <c r="E109" s="567"/>
      <c r="F109" s="289">
        <f>SUM(F106:F108)</f>
        <v>944938</v>
      </c>
    </row>
    <row r="110" spans="1:7" x14ac:dyDescent="0.25">
      <c r="A110" s="569" t="s">
        <v>435</v>
      </c>
      <c r="B110" s="569"/>
      <c r="C110" s="569"/>
      <c r="D110" s="569"/>
      <c r="E110" s="569"/>
      <c r="F110" s="569"/>
      <c r="G110" s="569"/>
    </row>
    <row r="113" spans="1:5" x14ac:dyDescent="0.25">
      <c r="A113" s="530">
        <v>2.6</v>
      </c>
      <c r="B113" s="569" t="s">
        <v>250</v>
      </c>
      <c r="C113" s="569"/>
      <c r="D113" s="569"/>
    </row>
    <row r="115" spans="1:5" ht="30" x14ac:dyDescent="0.25">
      <c r="B115" s="70" t="s">
        <v>141</v>
      </c>
      <c r="C115" s="70" t="s">
        <v>127</v>
      </c>
      <c r="D115" s="70" t="s">
        <v>366</v>
      </c>
    </row>
    <row r="116" spans="1:5" x14ac:dyDescent="0.25">
      <c r="B116" s="293">
        <v>1</v>
      </c>
      <c r="C116" s="280" t="s">
        <v>667</v>
      </c>
      <c r="D116" s="290">
        <v>300000</v>
      </c>
    </row>
    <row r="117" spans="1:5" x14ac:dyDescent="0.25">
      <c r="B117" s="293">
        <v>2</v>
      </c>
      <c r="C117" s="280" t="s">
        <v>1303</v>
      </c>
      <c r="D117" s="290">
        <v>50000</v>
      </c>
    </row>
    <row r="118" spans="1:5" x14ac:dyDescent="0.25">
      <c r="B118" s="293">
        <v>3</v>
      </c>
      <c r="C118" s="280" t="s">
        <v>668</v>
      </c>
      <c r="D118" s="290">
        <v>25000</v>
      </c>
    </row>
    <row r="119" spans="1:5" x14ac:dyDescent="0.25">
      <c r="B119" s="293">
        <v>4</v>
      </c>
      <c r="C119" s="280" t="s">
        <v>669</v>
      </c>
      <c r="D119" s="290">
        <v>50000</v>
      </c>
    </row>
    <row r="120" spans="1:5" x14ac:dyDescent="0.25">
      <c r="B120" s="293">
        <v>5</v>
      </c>
      <c r="C120" s="280" t="s">
        <v>670</v>
      </c>
      <c r="D120" s="290">
        <v>75000</v>
      </c>
    </row>
    <row r="121" spans="1:5" x14ac:dyDescent="0.25">
      <c r="B121" s="567" t="s">
        <v>1</v>
      </c>
      <c r="C121" s="567"/>
      <c r="D121" s="289">
        <f>SUM(D116:D120)</f>
        <v>500000</v>
      </c>
    </row>
    <row r="123" spans="1:5" ht="26.1" customHeight="1" x14ac:dyDescent="0.25">
      <c r="A123" s="568" t="s">
        <v>436</v>
      </c>
      <c r="B123" s="568"/>
      <c r="C123" s="568"/>
      <c r="D123" s="568"/>
      <c r="E123" s="568"/>
    </row>
  </sheetData>
  <mergeCells count="22">
    <mergeCell ref="B10:F10"/>
    <mergeCell ref="B2:G2"/>
    <mergeCell ref="B13:G13"/>
    <mergeCell ref="B68:H68"/>
    <mergeCell ref="B66:F66"/>
    <mergeCell ref="B15:H15"/>
    <mergeCell ref="B32:C32"/>
    <mergeCell ref="B55:C55"/>
    <mergeCell ref="B59:C59"/>
    <mergeCell ref="B121:C121"/>
    <mergeCell ref="A123:E123"/>
    <mergeCell ref="B64:C64"/>
    <mergeCell ref="A100:G100"/>
    <mergeCell ref="B109:E109"/>
    <mergeCell ref="B103:F103"/>
    <mergeCell ref="A110:G110"/>
    <mergeCell ref="B113:D113"/>
    <mergeCell ref="B84:E84"/>
    <mergeCell ref="B75:F75"/>
    <mergeCell ref="A86:G86"/>
    <mergeCell ref="B98:E98"/>
    <mergeCell ref="B89:F89"/>
  </mergeCells>
  <pageMargins left="0.38" right="0.17" top="0.32" bottom="0.55000000000000004" header="0.3" footer="0.3"/>
  <pageSetup paperSize="9" scale="7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zoomScale="160" zoomScaleNormal="160" workbookViewId="0">
      <selection activeCell="C5" sqref="C5:C8"/>
    </sheetView>
  </sheetViews>
  <sheetFormatPr defaultColWidth="8.7109375" defaultRowHeight="15" x14ac:dyDescent="0.25"/>
  <cols>
    <col min="1" max="1" width="3" style="192" customWidth="1"/>
    <col min="2" max="2" width="8.7109375" style="192"/>
    <col min="3" max="3" width="30.5703125" style="192" bestFit="1" customWidth="1"/>
    <col min="4" max="4" width="10.7109375" style="192" customWidth="1"/>
    <col min="5" max="5" width="23.140625" style="192" bestFit="1" customWidth="1"/>
    <col min="6" max="6" width="28.85546875" style="192" bestFit="1" customWidth="1"/>
    <col min="7" max="7" width="26.28515625" style="192" bestFit="1" customWidth="1"/>
    <col min="8" max="16384" width="8.7109375" style="192"/>
  </cols>
  <sheetData>
    <row r="2" spans="2:7" thickBot="1" x14ac:dyDescent="0.4">
      <c r="B2" s="108" t="s">
        <v>915</v>
      </c>
    </row>
    <row r="3" spans="2:7" thickBot="1" x14ac:dyDescent="0.4">
      <c r="B3" s="164" t="s">
        <v>141</v>
      </c>
      <c r="C3" s="347" t="s">
        <v>916</v>
      </c>
      <c r="D3" s="347" t="s">
        <v>157</v>
      </c>
      <c r="E3" s="347" t="s">
        <v>917</v>
      </c>
      <c r="F3" s="347" t="s">
        <v>918</v>
      </c>
      <c r="G3" s="347" t="s">
        <v>919</v>
      </c>
    </row>
    <row r="4" spans="2:7" thickBot="1" x14ac:dyDescent="0.4">
      <c r="B4" s="715" t="s">
        <v>920</v>
      </c>
      <c r="C4" s="716"/>
      <c r="D4" s="717"/>
      <c r="E4" s="717"/>
      <c r="F4" s="717"/>
      <c r="G4" s="718"/>
    </row>
    <row r="5" spans="2:7" x14ac:dyDescent="0.25">
      <c r="B5" s="704">
        <v>1</v>
      </c>
      <c r="C5" s="706" t="str">
        <f>+PL!A5</f>
        <v>Facility 1 - Cleaning &amp; Grading</v>
      </c>
      <c r="D5" s="708"/>
      <c r="E5" s="708">
        <v>0</v>
      </c>
      <c r="F5" s="708">
        <v>0</v>
      </c>
      <c r="G5" s="708">
        <v>0</v>
      </c>
    </row>
    <row r="6" spans="2:7" x14ac:dyDescent="0.25">
      <c r="B6" s="705"/>
      <c r="C6" s="707"/>
      <c r="D6" s="709"/>
      <c r="E6" s="709"/>
      <c r="F6" s="709"/>
      <c r="G6" s="709"/>
    </row>
    <row r="7" spans="2:7" x14ac:dyDescent="0.25">
      <c r="B7" s="705"/>
      <c r="C7" s="707"/>
      <c r="D7" s="709"/>
      <c r="E7" s="709"/>
      <c r="F7" s="709"/>
      <c r="G7" s="709"/>
    </row>
    <row r="8" spans="2:7" ht="15.75" thickBot="1" x14ac:dyDescent="0.3">
      <c r="B8" s="705"/>
      <c r="C8" s="707"/>
      <c r="D8" s="710"/>
      <c r="E8" s="710"/>
      <c r="F8" s="710"/>
      <c r="G8" s="710"/>
    </row>
    <row r="9" spans="2:7" x14ac:dyDescent="0.25">
      <c r="B9" s="704">
        <v>2</v>
      </c>
      <c r="C9" s="712" t="str">
        <f>+PL!A6</f>
        <v>Facility 2 - Processing Unit- Ragi Mill</v>
      </c>
      <c r="D9" s="713"/>
      <c r="E9" s="713">
        <f>+PL!H6</f>
        <v>10811519.297676206</v>
      </c>
      <c r="F9" s="699">
        <f>+PL!H15</f>
        <v>5082050.4983563432</v>
      </c>
      <c r="G9" s="702">
        <f>+PL!H24</f>
        <v>241217.21531250008</v>
      </c>
    </row>
    <row r="10" spans="2:7" x14ac:dyDescent="0.25">
      <c r="B10" s="705"/>
      <c r="C10" s="713"/>
      <c r="D10" s="713"/>
      <c r="E10" s="713"/>
      <c r="F10" s="699"/>
      <c r="G10" s="702"/>
    </row>
    <row r="11" spans="2:7" x14ac:dyDescent="0.25">
      <c r="B11" s="705"/>
      <c r="C11" s="713"/>
      <c r="D11" s="713"/>
      <c r="E11" s="713"/>
      <c r="F11" s="699"/>
      <c r="G11" s="702"/>
    </row>
    <row r="12" spans="2:7" x14ac:dyDescent="0.25">
      <c r="B12" s="705"/>
      <c r="C12" s="713"/>
      <c r="D12" s="713"/>
      <c r="E12" s="713"/>
      <c r="F12" s="699"/>
      <c r="G12" s="702"/>
    </row>
    <row r="13" spans="2:7" ht="15.75" thickBot="1" x14ac:dyDescent="0.3">
      <c r="B13" s="711"/>
      <c r="C13" s="714"/>
      <c r="D13" s="714"/>
      <c r="E13" s="714"/>
      <c r="F13" s="700"/>
      <c r="G13" s="703"/>
    </row>
    <row r="14" spans="2:7" x14ac:dyDescent="0.25">
      <c r="B14" s="704">
        <v>3</v>
      </c>
      <c r="C14" s="712" t="str">
        <f>+PL!A7</f>
        <v>Facility 3 - Warehouse</v>
      </c>
      <c r="D14" s="712"/>
      <c r="E14" s="698">
        <f>+PL!H7</f>
        <v>393988.11834375019</v>
      </c>
      <c r="F14" s="698">
        <f>+PL!H16</f>
        <v>82549.891462500033</v>
      </c>
      <c r="G14" s="701">
        <f>+PL!H25</f>
        <v>160811.47687500005</v>
      </c>
    </row>
    <row r="15" spans="2:7" x14ac:dyDescent="0.25">
      <c r="B15" s="705"/>
      <c r="C15" s="713"/>
      <c r="D15" s="713"/>
      <c r="E15" s="699"/>
      <c r="F15" s="699"/>
      <c r="G15" s="702"/>
    </row>
    <row r="16" spans="2:7" x14ac:dyDescent="0.25">
      <c r="B16" s="705"/>
      <c r="C16" s="713"/>
      <c r="D16" s="713"/>
      <c r="E16" s="699"/>
      <c r="F16" s="699"/>
      <c r="G16" s="702"/>
    </row>
    <row r="17" spans="1:7" x14ac:dyDescent="0.25">
      <c r="B17" s="705"/>
      <c r="C17" s="713"/>
      <c r="D17" s="713"/>
      <c r="E17" s="699"/>
      <c r="F17" s="699"/>
      <c r="G17" s="702"/>
    </row>
    <row r="18" spans="1:7" ht="15.75" thickBot="1" x14ac:dyDescent="0.3">
      <c r="B18" s="711"/>
      <c r="C18" s="714"/>
      <c r="D18" s="714"/>
      <c r="E18" s="700"/>
      <c r="F18" s="700"/>
      <c r="G18" s="703"/>
    </row>
    <row r="19" spans="1:7" x14ac:dyDescent="0.25">
      <c r="B19" s="704">
        <v>4</v>
      </c>
      <c r="C19" s="712" t="str">
        <f>+PL!A8</f>
        <v xml:space="preserve">Facility 4 - Custom Hiring </v>
      </c>
      <c r="D19" s="712"/>
      <c r="E19" s="698">
        <f>+PL!H8</f>
        <v>2757916.828406251</v>
      </c>
      <c r="F19" s="698">
        <f>+PL!H17</f>
        <v>1815481.1681803132</v>
      </c>
      <c r="G19" s="701">
        <f>+PL!H26</f>
        <v>241217.21531250008</v>
      </c>
    </row>
    <row r="20" spans="1:7" x14ac:dyDescent="0.25">
      <c r="B20" s="705"/>
      <c r="C20" s="713"/>
      <c r="D20" s="713"/>
      <c r="E20" s="699"/>
      <c r="F20" s="699"/>
      <c r="G20" s="702"/>
    </row>
    <row r="21" spans="1:7" x14ac:dyDescent="0.25">
      <c r="B21" s="705"/>
      <c r="C21" s="713"/>
      <c r="D21" s="713"/>
      <c r="E21" s="699"/>
      <c r="F21" s="699"/>
      <c r="G21" s="702"/>
    </row>
    <row r="22" spans="1:7" x14ac:dyDescent="0.25">
      <c r="B22" s="705"/>
      <c r="C22" s="713"/>
      <c r="D22" s="713"/>
      <c r="E22" s="699"/>
      <c r="F22" s="699"/>
      <c r="G22" s="702"/>
    </row>
    <row r="23" spans="1:7" ht="15.75" thickBot="1" x14ac:dyDescent="0.3">
      <c r="B23" s="711"/>
      <c r="C23" s="714"/>
      <c r="D23" s="714"/>
      <c r="E23" s="700"/>
      <c r="F23" s="700"/>
      <c r="G23" s="703"/>
    </row>
    <row r="24" spans="1:7" x14ac:dyDescent="0.25">
      <c r="B24" s="192" t="s">
        <v>1228</v>
      </c>
    </row>
    <row r="25" spans="1:7" x14ac:dyDescent="0.25">
      <c r="A25" s="192" t="s">
        <v>1226</v>
      </c>
      <c r="B25" s="192" t="s">
        <v>1227</v>
      </c>
    </row>
  </sheetData>
  <mergeCells count="25">
    <mergeCell ref="E14:E18"/>
    <mergeCell ref="F14:F18"/>
    <mergeCell ref="B4:G4"/>
    <mergeCell ref="B9:B13"/>
    <mergeCell ref="C9:C13"/>
    <mergeCell ref="D9:D13"/>
    <mergeCell ref="E9:E13"/>
    <mergeCell ref="F9:F13"/>
    <mergeCell ref="G9:G13"/>
    <mergeCell ref="E19:E23"/>
    <mergeCell ref="F19:F23"/>
    <mergeCell ref="G19:G23"/>
    <mergeCell ref="B5:B8"/>
    <mergeCell ref="C5:C8"/>
    <mergeCell ref="D5:D8"/>
    <mergeCell ref="B19:B23"/>
    <mergeCell ref="C19:C23"/>
    <mergeCell ref="D19:D23"/>
    <mergeCell ref="E5:E8"/>
    <mergeCell ref="F5:F8"/>
    <mergeCell ref="G5:G8"/>
    <mergeCell ref="G14:G18"/>
    <mergeCell ref="B14:B18"/>
    <mergeCell ref="C14:C18"/>
    <mergeCell ref="D14:D18"/>
  </mergeCells>
  <pageMargins left="0.17" right="0.17" top="0.75" bottom="0.75" header="0.3" footer="0.3"/>
  <pageSetup paperSize="9" orientation="landscape"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36"/>
  <sheetViews>
    <sheetView zoomScale="160" zoomScaleNormal="160" workbookViewId="0">
      <selection activeCell="C8" sqref="C8"/>
    </sheetView>
  </sheetViews>
  <sheetFormatPr defaultColWidth="25.85546875" defaultRowHeight="15" x14ac:dyDescent="0.25"/>
  <cols>
    <col min="1" max="1" width="2" style="192" customWidth="1"/>
    <col min="2" max="2" width="6.85546875" style="192" customWidth="1"/>
    <col min="3" max="3" width="42.140625" style="192" customWidth="1"/>
    <col min="4" max="4" width="14.140625" style="192" customWidth="1"/>
    <col min="5" max="6" width="13.140625" style="192" customWidth="1"/>
    <col min="7" max="7" width="14.28515625" style="192" customWidth="1"/>
    <col min="8" max="8" width="12.42578125" style="192" bestFit="1" customWidth="1"/>
    <col min="9" max="9" width="13.140625" style="192" bestFit="1" customWidth="1"/>
    <col min="10" max="10" width="13.7109375" style="192" customWidth="1"/>
    <col min="11" max="16384" width="25.85546875" style="192"/>
  </cols>
  <sheetData>
    <row r="2" spans="2:10" thickBot="1" x14ac:dyDescent="0.4">
      <c r="B2" s="192" t="s">
        <v>921</v>
      </c>
    </row>
    <row r="3" spans="2:10" thickBot="1" x14ac:dyDescent="0.4">
      <c r="B3" s="120"/>
      <c r="C3" s="121" t="s">
        <v>0</v>
      </c>
      <c r="D3" s="122" t="s">
        <v>2</v>
      </c>
      <c r="E3" s="122" t="s">
        <v>3</v>
      </c>
      <c r="F3" s="122" t="s">
        <v>4</v>
      </c>
      <c r="G3" s="122" t="s">
        <v>5</v>
      </c>
      <c r="H3" s="122" t="s">
        <v>6</v>
      </c>
      <c r="I3" s="122" t="s">
        <v>165</v>
      </c>
      <c r="J3" s="122" t="s">
        <v>164</v>
      </c>
    </row>
    <row r="4" spans="2:10" thickBot="1" x14ac:dyDescent="0.4">
      <c r="B4" s="123"/>
      <c r="C4" s="124" t="s">
        <v>922</v>
      </c>
      <c r="D4" s="125"/>
      <c r="E4" s="125"/>
      <c r="F4" s="125"/>
      <c r="G4" s="125"/>
      <c r="H4" s="125"/>
      <c r="I4" s="125"/>
      <c r="J4" s="125"/>
    </row>
    <row r="5" spans="2:10" thickBot="1" x14ac:dyDescent="0.4">
      <c r="B5" s="123"/>
      <c r="C5" s="124" t="s">
        <v>923</v>
      </c>
      <c r="D5" s="125"/>
      <c r="E5" s="125"/>
      <c r="F5" s="125"/>
      <c r="G5" s="125"/>
      <c r="H5" s="125"/>
      <c r="I5" s="125"/>
      <c r="J5" s="125"/>
    </row>
    <row r="6" spans="2:10" thickBot="1" x14ac:dyDescent="0.4">
      <c r="B6" s="123"/>
      <c r="C6" s="125" t="str">
        <f>+[3]PL!A8</f>
        <v>Faclitiy 1 - Cleaning &amp; Grading</v>
      </c>
      <c r="D6" s="126">
        <f>+PL!B5</f>
        <v>29661972.741941765</v>
      </c>
      <c r="E6" s="126">
        <f>+PL!C5</f>
        <v>33949179.073855594</v>
      </c>
      <c r="F6" s="126">
        <f>+PL!D5</f>
        <v>38390091.717705235</v>
      </c>
      <c r="G6" s="126">
        <f>+PL!E5</f>
        <v>43190222.67825523</v>
      </c>
      <c r="H6" s="126">
        <f>+PL!F5</f>
        <v>48374391.505565956</v>
      </c>
      <c r="I6" s="126">
        <f>+PL!G5</f>
        <v>53969001.658912107</v>
      </c>
      <c r="J6" s="126">
        <f>+PL!H5</f>
        <v>60002136.848828964</v>
      </c>
    </row>
    <row r="7" spans="2:10" thickBot="1" x14ac:dyDescent="0.4">
      <c r="B7" s="123"/>
      <c r="C7" s="125" t="str">
        <f>+[3]PL!A9</f>
        <v>Faclitiy 2 - Processing Unit- Ragi Mill</v>
      </c>
      <c r="D7" s="126">
        <f>+PL!B6</f>
        <v>6065956.512000002</v>
      </c>
      <c r="E7" s="126">
        <f>+PL!C6</f>
        <v>6454177.7287680013</v>
      </c>
      <c r="F7" s="126">
        <f>+PL!D6</f>
        <v>7200442.0286568021</v>
      </c>
      <c r="G7" s="126">
        <f>+PL!E6</f>
        <v>8005197.3142125634</v>
      </c>
      <c r="H7" s="126">
        <f>+PL!F6</f>
        <v>8872427.0232522581</v>
      </c>
      <c r="I7" s="126">
        <f>+PL!G6</f>
        <v>9806366.7099103928</v>
      </c>
      <c r="J7" s="126">
        <f>+PL!H6</f>
        <v>10811519.297676206</v>
      </c>
    </row>
    <row r="8" spans="2:10" thickBot="1" x14ac:dyDescent="0.4">
      <c r="B8" s="123"/>
      <c r="C8" s="125" t="str">
        <f>+[3]PL!A10</f>
        <v>Faclitiy 3 - Warehouse</v>
      </c>
      <c r="D8" s="126">
        <f>+PL!B7</f>
        <v>210000</v>
      </c>
      <c r="E8" s="126">
        <f>+PL!C7</f>
        <v>242550.00000000003</v>
      </c>
      <c r="F8" s="126">
        <f>+PL!D7</f>
        <v>277830.00000000006</v>
      </c>
      <c r="G8" s="126">
        <f>+PL!E7</f>
        <v>316031.62500000012</v>
      </c>
      <c r="H8" s="126">
        <f>+PL!F7</f>
        <v>357358.83750000014</v>
      </c>
      <c r="I8" s="126">
        <f>+PL!G7</f>
        <v>375226.77937500016</v>
      </c>
      <c r="J8" s="126">
        <f>+PL!H7</f>
        <v>393988.11834375019</v>
      </c>
    </row>
    <row r="9" spans="2:10" thickBot="1" x14ac:dyDescent="0.4">
      <c r="B9" s="123"/>
      <c r="C9" s="125" t="str">
        <f>+[3]PL!A11</f>
        <v xml:space="preserve">Faclitiy 4 - Custom Hiring </v>
      </c>
      <c r="D9" s="126">
        <f>+PL!B8</f>
        <v>2058000</v>
      </c>
      <c r="E9" s="126">
        <f>+PL!C8</f>
        <v>2160900</v>
      </c>
      <c r="F9" s="126">
        <f>+PL!D8</f>
        <v>2268945</v>
      </c>
      <c r="G9" s="126">
        <f>+PL!E8</f>
        <v>2382392.2500000005</v>
      </c>
      <c r="H9" s="126">
        <f>+PL!F8</f>
        <v>2501511.8625000007</v>
      </c>
      <c r="I9" s="126">
        <f>+PL!G8</f>
        <v>2626587.4556250009</v>
      </c>
      <c r="J9" s="126">
        <f>+PL!H8</f>
        <v>2757916.828406251</v>
      </c>
    </row>
    <row r="10" spans="2:10" thickBot="1" x14ac:dyDescent="0.4">
      <c r="B10" s="123"/>
      <c r="C10" s="125" t="str">
        <f>+[3]PL!A12</f>
        <v>Faclitiy 5 - Agri Input Centre</v>
      </c>
      <c r="D10" s="126">
        <f>+PL!B9</f>
        <v>0</v>
      </c>
      <c r="E10" s="126">
        <f>+PL!C9</f>
        <v>0</v>
      </c>
      <c r="F10" s="126">
        <f>+PL!D9</f>
        <v>0</v>
      </c>
      <c r="G10" s="126">
        <f>+PL!E9</f>
        <v>0</v>
      </c>
      <c r="H10" s="126">
        <f>+PL!F9</f>
        <v>0</v>
      </c>
      <c r="I10" s="126">
        <f>+PL!G9</f>
        <v>0</v>
      </c>
      <c r="J10" s="126">
        <f>+PL!H9</f>
        <v>0</v>
      </c>
    </row>
    <row r="11" spans="2:10" thickBot="1" x14ac:dyDescent="0.4">
      <c r="B11" s="123"/>
      <c r="C11" s="337" t="s">
        <v>924</v>
      </c>
      <c r="D11" s="127">
        <f t="shared" ref="D11:J11" si="0">SUM(D6:D10)</f>
        <v>37995929.253941767</v>
      </c>
      <c r="E11" s="127">
        <f t="shared" si="0"/>
        <v>42806806.802623592</v>
      </c>
      <c r="F11" s="127">
        <f t="shared" si="0"/>
        <v>48137308.746362038</v>
      </c>
      <c r="G11" s="127">
        <f t="shared" si="0"/>
        <v>53893843.867467791</v>
      </c>
      <c r="H11" s="127">
        <f t="shared" si="0"/>
        <v>60105689.228818208</v>
      </c>
      <c r="I11" s="127">
        <f t="shared" si="0"/>
        <v>66777182.6038225</v>
      </c>
      <c r="J11" s="127">
        <f t="shared" si="0"/>
        <v>73965561.093255177</v>
      </c>
    </row>
    <row r="12" spans="2:10" thickBot="1" x14ac:dyDescent="0.4">
      <c r="B12" s="123"/>
      <c r="C12" s="338"/>
      <c r="D12" s="126"/>
      <c r="E12" s="126"/>
      <c r="F12" s="126"/>
      <c r="G12" s="126"/>
      <c r="H12" s="126"/>
      <c r="I12" s="126"/>
      <c r="J12" s="126"/>
    </row>
    <row r="13" spans="2:10" thickBot="1" x14ac:dyDescent="0.4">
      <c r="B13" s="123"/>
      <c r="C13" s="124" t="s">
        <v>305</v>
      </c>
      <c r="D13" s="126"/>
      <c r="E13" s="126"/>
      <c r="F13" s="126"/>
      <c r="G13" s="126"/>
      <c r="H13" s="126"/>
      <c r="I13" s="126"/>
      <c r="J13" s="126"/>
    </row>
    <row r="14" spans="2:10" thickBot="1" x14ac:dyDescent="0.4">
      <c r="B14" s="123"/>
      <c r="C14" s="96" t="str">
        <f>+C6</f>
        <v>Faclitiy 1 - Cleaning &amp; Grading</v>
      </c>
      <c r="D14" s="126">
        <f>+PL!B23</f>
        <v>300000</v>
      </c>
      <c r="E14" s="126">
        <f>+PL!C23</f>
        <v>315000</v>
      </c>
      <c r="F14" s="126">
        <f>+PL!D23</f>
        <v>330750</v>
      </c>
      <c r="G14" s="126">
        <f>+PL!E23</f>
        <v>347287.50000000006</v>
      </c>
      <c r="H14" s="126">
        <f>+PL!F23</f>
        <v>364651.87500000006</v>
      </c>
      <c r="I14" s="126">
        <f>+PL!G23</f>
        <v>382884.46875000012</v>
      </c>
      <c r="J14" s="126">
        <f>+PL!H23</f>
        <v>402028.69218750013</v>
      </c>
    </row>
    <row r="15" spans="2:10" thickBot="1" x14ac:dyDescent="0.4">
      <c r="B15" s="123"/>
      <c r="C15" s="96" t="str">
        <f t="shared" ref="C15:C18" si="1">+C7</f>
        <v>Faclitiy 2 - Processing Unit- Ragi Mill</v>
      </c>
      <c r="D15" s="126">
        <f>+PL!B24</f>
        <v>180000</v>
      </c>
      <c r="E15" s="126">
        <f>+PL!C24</f>
        <v>189000</v>
      </c>
      <c r="F15" s="126">
        <f>+PL!D24</f>
        <v>198450</v>
      </c>
      <c r="G15" s="126">
        <f>+PL!E24</f>
        <v>208372.50000000003</v>
      </c>
      <c r="H15" s="126">
        <f>+PL!F24</f>
        <v>218791.12500000003</v>
      </c>
      <c r="I15" s="126">
        <f>+PL!G24</f>
        <v>229730.68125000005</v>
      </c>
      <c r="J15" s="126">
        <f>+PL!H24</f>
        <v>241217.21531250008</v>
      </c>
    </row>
    <row r="16" spans="2:10" ht="15.75" thickBot="1" x14ac:dyDescent="0.3">
      <c r="B16" s="123"/>
      <c r="C16" s="96" t="str">
        <f t="shared" si="1"/>
        <v>Faclitiy 3 - Warehouse</v>
      </c>
      <c r="D16" s="126">
        <f>+PL!B25</f>
        <v>120000</v>
      </c>
      <c r="E16" s="126">
        <f>+PL!C25</f>
        <v>126000</v>
      </c>
      <c r="F16" s="126">
        <f>+PL!D25</f>
        <v>132300</v>
      </c>
      <c r="G16" s="126">
        <f>+PL!E25</f>
        <v>138915.00000000003</v>
      </c>
      <c r="H16" s="126">
        <f>+PL!F25</f>
        <v>145860.75000000003</v>
      </c>
      <c r="I16" s="126">
        <f>+PL!G25</f>
        <v>153153.78750000003</v>
      </c>
      <c r="J16" s="126">
        <f>+PL!H25</f>
        <v>160811.47687500005</v>
      </c>
    </row>
    <row r="17" spans="2:10" ht="15.75" thickBot="1" x14ac:dyDescent="0.3">
      <c r="B17" s="123"/>
      <c r="C17" s="96" t="str">
        <f t="shared" si="1"/>
        <v xml:space="preserve">Faclitiy 4 - Custom Hiring </v>
      </c>
      <c r="D17" s="126">
        <f>+PL!B26</f>
        <v>180000</v>
      </c>
      <c r="E17" s="126">
        <f>+PL!C26</f>
        <v>189000</v>
      </c>
      <c r="F17" s="126">
        <f>+PL!D26</f>
        <v>198450</v>
      </c>
      <c r="G17" s="126">
        <f>+PL!E26</f>
        <v>208372.50000000003</v>
      </c>
      <c r="H17" s="126">
        <f>+PL!F26</f>
        <v>218791.12500000003</v>
      </c>
      <c r="I17" s="126">
        <f>+PL!G26</f>
        <v>229730.68125000005</v>
      </c>
      <c r="J17" s="126">
        <f>+PL!H26</f>
        <v>241217.21531250008</v>
      </c>
    </row>
    <row r="18" spans="2:10" ht="15.75" thickBot="1" x14ac:dyDescent="0.3">
      <c r="B18" s="123"/>
      <c r="C18" s="96" t="str">
        <f t="shared" si="1"/>
        <v>Faclitiy 5 - Agri Input Centre</v>
      </c>
      <c r="D18" s="126">
        <f>+PL!B27</f>
        <v>0</v>
      </c>
      <c r="E18" s="126">
        <f>+PL!C27</f>
        <v>0</v>
      </c>
      <c r="F18" s="126">
        <f>+PL!D27</f>
        <v>0</v>
      </c>
      <c r="G18" s="126">
        <f>+PL!E27</f>
        <v>0</v>
      </c>
      <c r="H18" s="126">
        <f>+PL!F27</f>
        <v>0</v>
      </c>
      <c r="I18" s="126">
        <f>+PL!G27</f>
        <v>0</v>
      </c>
      <c r="J18" s="126">
        <f>+PL!H27</f>
        <v>0</v>
      </c>
    </row>
    <row r="19" spans="2:10" ht="15.75" thickBot="1" x14ac:dyDescent="0.3">
      <c r="B19" s="123"/>
      <c r="C19" s="96" t="s">
        <v>9</v>
      </c>
      <c r="D19" s="126">
        <f>+PL!B29</f>
        <v>1858329.1445559999</v>
      </c>
      <c r="E19" s="126">
        <f>+PL!C29</f>
        <v>1933732.9091119999</v>
      </c>
      <c r="F19" s="126">
        <f>+PL!D29</f>
        <v>2013374.1736679999</v>
      </c>
      <c r="G19" s="126">
        <f>+PL!E29</f>
        <v>2097464.8132240004</v>
      </c>
      <c r="H19" s="126">
        <f>+PL!F29</f>
        <v>2186227.2965300004</v>
      </c>
      <c r="I19" s="126">
        <f>+PL!G29</f>
        <v>2279895.2157735005</v>
      </c>
      <c r="J19" s="126">
        <f>+PL!H29</f>
        <v>2378713.8427513754</v>
      </c>
    </row>
    <row r="20" spans="2:10" ht="15.75" thickBot="1" x14ac:dyDescent="0.3">
      <c r="B20" s="123"/>
      <c r="C20" s="337" t="s">
        <v>925</v>
      </c>
      <c r="D20" s="126">
        <f>SUM(D14:D19)</f>
        <v>2638329.1445559999</v>
      </c>
      <c r="E20" s="126">
        <f t="shared" ref="E20:J20" si="2">SUM(E14:E19)</f>
        <v>2752732.9091119999</v>
      </c>
      <c r="F20" s="126">
        <f t="shared" si="2"/>
        <v>2873324.1736679999</v>
      </c>
      <c r="G20" s="126">
        <f t="shared" si="2"/>
        <v>3000412.3132240004</v>
      </c>
      <c r="H20" s="126">
        <f t="shared" si="2"/>
        <v>3134322.1715300004</v>
      </c>
      <c r="I20" s="126">
        <f t="shared" si="2"/>
        <v>3275394.8345235009</v>
      </c>
      <c r="J20" s="126">
        <f t="shared" si="2"/>
        <v>3423988.4424388758</v>
      </c>
    </row>
    <row r="21" spans="2:10" ht="15.75" thickBot="1" x14ac:dyDescent="0.3">
      <c r="B21" s="123"/>
      <c r="C21" s="338"/>
      <c r="D21" s="126"/>
      <c r="E21" s="126"/>
      <c r="F21" s="126"/>
      <c r="G21" s="126"/>
      <c r="H21" s="126"/>
      <c r="I21" s="126"/>
      <c r="J21" s="126"/>
    </row>
    <row r="22" spans="2:10" ht="15.75" thickBot="1" x14ac:dyDescent="0.3">
      <c r="B22" s="123"/>
      <c r="C22" s="124" t="s">
        <v>307</v>
      </c>
      <c r="D22" s="126"/>
      <c r="E22" s="126"/>
      <c r="F22" s="126"/>
      <c r="G22" s="126"/>
      <c r="H22" s="126"/>
      <c r="I22" s="126"/>
      <c r="J22" s="126"/>
    </row>
    <row r="23" spans="2:10" ht="15.75" thickBot="1" x14ac:dyDescent="0.3">
      <c r="B23" s="123"/>
      <c r="C23" s="96" t="str">
        <f>+C14</f>
        <v>Faclitiy 1 - Cleaning &amp; Grading</v>
      </c>
      <c r="D23" s="126">
        <f>+PL!B14</f>
        <v>27013928.424151175</v>
      </c>
      <c r="E23" s="126">
        <f>+PL!C14</f>
        <v>30973742.747331854</v>
      </c>
      <c r="F23" s="126">
        <f>+PL!D14</f>
        <v>34998529.981300794</v>
      </c>
      <c r="G23" s="126">
        <f>+PL!E14</f>
        <v>39345713.246968046</v>
      </c>
      <c r="H23" s="126">
        <f>+PL!F14</f>
        <v>44037568.245715477</v>
      </c>
      <c r="I23" s="126">
        <f>+PL!G14</f>
        <v>49097792.25898388</v>
      </c>
      <c r="J23" s="126">
        <f>+PL!H14</f>
        <v>54551590.617025398</v>
      </c>
    </row>
    <row r="24" spans="2:10" ht="15.75" thickBot="1" x14ac:dyDescent="0.3">
      <c r="B24" s="123"/>
      <c r="C24" s="96" t="str">
        <f t="shared" ref="C24:C27" si="3">+C15</f>
        <v>Faclitiy 2 - Processing Unit- Ragi Mill</v>
      </c>
      <c r="D24" s="126">
        <f>+PL!B15</f>
        <v>2745569.1539764232</v>
      </c>
      <c r="E24" s="126">
        <f>+PL!C15</f>
        <v>3080685.6603414663</v>
      </c>
      <c r="F24" s="126">
        <f>+PL!D15</f>
        <v>3425320.8478716668</v>
      </c>
      <c r="G24" s="126">
        <f>+PL!E15</f>
        <v>3796011.3216806287</v>
      </c>
      <c r="H24" s="126">
        <f>+PL!F15</f>
        <v>4194423.6293274825</v>
      </c>
      <c r="I24" s="126">
        <f>+PL!G15</f>
        <v>4622437.2968624923</v>
      </c>
      <c r="J24" s="126">
        <f>+PL!H15</f>
        <v>5082050.4983563432</v>
      </c>
    </row>
    <row r="25" spans="2:10" ht="15.75" thickBot="1" x14ac:dyDescent="0.3">
      <c r="B25" s="123"/>
      <c r="C25" s="96" t="str">
        <f t="shared" si="3"/>
        <v>Faclitiy 3 - Warehouse</v>
      </c>
      <c r="D25" s="126">
        <f>+PL!B16</f>
        <v>61600</v>
      </c>
      <c r="E25" s="126">
        <f>+PL!C16</f>
        <v>64680</v>
      </c>
      <c r="F25" s="126">
        <f>+PL!D16</f>
        <v>67914</v>
      </c>
      <c r="G25" s="126">
        <f>+PL!E16</f>
        <v>71309.700000000012</v>
      </c>
      <c r="H25" s="126">
        <f>+PL!F16</f>
        <v>74875.185000000012</v>
      </c>
      <c r="I25" s="126">
        <f>+PL!G16</f>
        <v>78618.94425000003</v>
      </c>
      <c r="J25" s="126">
        <f>+PL!H16</f>
        <v>82549.891462500033</v>
      </c>
    </row>
    <row r="26" spans="2:10" ht="15.75" thickBot="1" x14ac:dyDescent="0.3">
      <c r="B26" s="123"/>
      <c r="C26" s="96" t="str">
        <f t="shared" si="3"/>
        <v xml:space="preserve">Faclitiy 4 - Custom Hiring </v>
      </c>
      <c r="D26" s="126">
        <f>+PL!B17</f>
        <v>1354740</v>
      </c>
      <c r="E26" s="126">
        <f>+PL!C17</f>
        <v>1422477</v>
      </c>
      <c r="F26" s="126">
        <f>+PL!D17</f>
        <v>1493600.85</v>
      </c>
      <c r="G26" s="126">
        <f>+PL!E17</f>
        <v>1568280.8925000003</v>
      </c>
      <c r="H26" s="126">
        <f>+PL!F17</f>
        <v>1646694.9371250004</v>
      </c>
      <c r="I26" s="126">
        <f>+PL!G17</f>
        <v>1729029.6839812505</v>
      </c>
      <c r="J26" s="126">
        <f>+PL!H17</f>
        <v>1815481.1681803132</v>
      </c>
    </row>
    <row r="27" spans="2:10" ht="15.75" thickBot="1" x14ac:dyDescent="0.3">
      <c r="B27" s="123"/>
      <c r="C27" s="96" t="str">
        <f t="shared" si="3"/>
        <v>Faclitiy 5 - Agri Input Centre</v>
      </c>
      <c r="D27" s="126">
        <f>+PL!B18</f>
        <v>0</v>
      </c>
      <c r="E27" s="126">
        <f>+PL!C18</f>
        <v>0</v>
      </c>
      <c r="F27" s="126">
        <f>+PL!D18</f>
        <v>0</v>
      </c>
      <c r="G27" s="126">
        <f>+PL!E18</f>
        <v>0</v>
      </c>
      <c r="H27" s="126">
        <f>+PL!F18</f>
        <v>0</v>
      </c>
      <c r="I27" s="126">
        <f>+PL!G18</f>
        <v>0</v>
      </c>
      <c r="J27" s="126">
        <f>+PL!H18</f>
        <v>0</v>
      </c>
    </row>
    <row r="28" spans="2:10" ht="15.75" thickBot="1" x14ac:dyDescent="0.3">
      <c r="B28" s="123"/>
      <c r="C28" s="337" t="s">
        <v>926</v>
      </c>
      <c r="D28" s="126">
        <f t="shared" ref="D28:J28" si="4">SUM(D23:D27)</f>
        <v>31175837.578127597</v>
      </c>
      <c r="E28" s="126">
        <f t="shared" si="4"/>
        <v>35541585.407673322</v>
      </c>
      <c r="F28" s="126">
        <f t="shared" si="4"/>
        <v>39985365.679172464</v>
      </c>
      <c r="G28" s="126">
        <f t="shared" si="4"/>
        <v>44781315.161148675</v>
      </c>
      <c r="H28" s="126">
        <f t="shared" si="4"/>
        <v>49953561.99716796</v>
      </c>
      <c r="I28" s="126">
        <f t="shared" si="4"/>
        <v>55527878.184077621</v>
      </c>
      <c r="J28" s="126">
        <f t="shared" si="4"/>
        <v>61531672.175024554</v>
      </c>
    </row>
    <row r="29" spans="2:10" ht="15.75" thickBot="1" x14ac:dyDescent="0.3">
      <c r="B29" s="123"/>
      <c r="C29" s="339"/>
      <c r="D29" s="126"/>
      <c r="E29" s="126"/>
      <c r="F29" s="126"/>
      <c r="G29" s="126"/>
      <c r="H29" s="126"/>
      <c r="I29" s="126"/>
      <c r="J29" s="126"/>
    </row>
    <row r="30" spans="2:10" ht="15.75" thickBot="1" x14ac:dyDescent="0.3">
      <c r="B30" s="123"/>
      <c r="C30" s="128" t="s">
        <v>927</v>
      </c>
      <c r="D30" s="126">
        <f>+D11-D20-D28</f>
        <v>4181762.5312581696</v>
      </c>
      <c r="E30" s="126">
        <f t="shared" ref="E30:J30" si="5">+E11-E20-E28</f>
        <v>4512488.4858382717</v>
      </c>
      <c r="F30" s="126">
        <f t="shared" si="5"/>
        <v>5278618.8935215771</v>
      </c>
      <c r="G30" s="126">
        <f t="shared" si="5"/>
        <v>6112116.3930951133</v>
      </c>
      <c r="H30" s="126">
        <f t="shared" si="5"/>
        <v>7017805.0601202473</v>
      </c>
      <c r="I30" s="126">
        <f t="shared" si="5"/>
        <v>7973909.58522138</v>
      </c>
      <c r="J30" s="126">
        <f t="shared" si="5"/>
        <v>9009900.4757917523</v>
      </c>
    </row>
    <row r="31" spans="2:10" ht="15.75" thickBot="1" x14ac:dyDescent="0.3">
      <c r="B31" s="123"/>
      <c r="C31" s="96" t="s">
        <v>928</v>
      </c>
      <c r="D31" s="126"/>
      <c r="E31" s="126"/>
      <c r="F31" s="126"/>
      <c r="G31" s="126"/>
      <c r="H31" s="126"/>
      <c r="I31" s="126"/>
      <c r="J31" s="126"/>
    </row>
    <row r="32" spans="2:10" ht="15.75" thickBot="1" x14ac:dyDescent="0.3">
      <c r="B32" s="123"/>
      <c r="C32" s="96" t="s">
        <v>17</v>
      </c>
      <c r="D32" s="126">
        <f>+PL!B36</f>
        <v>934623.5443999999</v>
      </c>
      <c r="E32" s="126">
        <f>+PL!C36</f>
        <v>934623.5443999999</v>
      </c>
      <c r="F32" s="126">
        <f>+PL!D36</f>
        <v>934623.5443999999</v>
      </c>
      <c r="G32" s="126">
        <f>+PL!E36</f>
        <v>934623.5443999999</v>
      </c>
      <c r="H32" s="126">
        <f>+PL!F36</f>
        <v>934623.5443999999</v>
      </c>
      <c r="I32" s="126">
        <f>+PL!G36</f>
        <v>934623.5443999999</v>
      </c>
      <c r="J32" s="126">
        <f>+PL!H36</f>
        <v>934623.5443999999</v>
      </c>
    </row>
    <row r="33" spans="2:10" ht="15.75" thickBot="1" x14ac:dyDescent="0.3">
      <c r="B33" s="123"/>
      <c r="C33" s="129" t="s">
        <v>134</v>
      </c>
      <c r="D33" s="126">
        <f>+PL!B37</f>
        <v>100000</v>
      </c>
      <c r="E33" s="126">
        <f>+PL!C37</f>
        <v>100000</v>
      </c>
      <c r="F33" s="126">
        <f>+PL!D37</f>
        <v>100000</v>
      </c>
      <c r="G33" s="126">
        <f>+PL!E37</f>
        <v>100000</v>
      </c>
      <c r="H33" s="126">
        <f>+PL!F37</f>
        <v>100000</v>
      </c>
      <c r="I33" s="126">
        <f>+PL!G37</f>
        <v>0</v>
      </c>
      <c r="J33" s="126">
        <f>+PL!H37</f>
        <v>0</v>
      </c>
    </row>
    <row r="34" spans="2:10" ht="15.75" thickBot="1" x14ac:dyDescent="0.3">
      <c r="B34" s="123"/>
      <c r="C34" s="130" t="s">
        <v>929</v>
      </c>
      <c r="D34" s="126">
        <f>+PL!B41</f>
        <v>814806.55664425506</v>
      </c>
      <c r="E34" s="126">
        <f>+PL!C41</f>
        <v>713107.84654143872</v>
      </c>
      <c r="F34" s="126">
        <f>+PL!D41</f>
        <v>532874.43488211534</v>
      </c>
      <c r="G34" s="126">
        <f>+PL!E41</f>
        <v>328874.26343543478</v>
      </c>
      <c r="H34" s="126">
        <f>+PL!F41</f>
        <v>219282.08302760028</v>
      </c>
      <c r="I34" s="126">
        <f>+PL!G41</f>
        <v>243729.79423554457</v>
      </c>
      <c r="J34" s="126">
        <f>+PL!H41</f>
        <v>270078.74111026188</v>
      </c>
    </row>
    <row r="35" spans="2:10" ht="15.75" thickBot="1" x14ac:dyDescent="0.3">
      <c r="B35" s="123"/>
      <c r="C35" s="128" t="s">
        <v>930</v>
      </c>
      <c r="D35" s="126">
        <f>+D30-D32-D34-D33</f>
        <v>2332332.4302139143</v>
      </c>
      <c r="E35" s="126">
        <f t="shared" ref="E35:J35" si="6">+E30-E32-E34-E33</f>
        <v>2764757.0948968329</v>
      </c>
      <c r="F35" s="126">
        <f t="shared" si="6"/>
        <v>3711120.9142394615</v>
      </c>
      <c r="G35" s="126">
        <f t="shared" si="6"/>
        <v>4748618.5852596788</v>
      </c>
      <c r="H35" s="126">
        <f t="shared" si="6"/>
        <v>5763899.432692647</v>
      </c>
      <c r="I35" s="126">
        <f t="shared" si="6"/>
        <v>6795556.2465858357</v>
      </c>
      <c r="J35" s="126">
        <f t="shared" si="6"/>
        <v>7805198.1902814908</v>
      </c>
    </row>
    <row r="36" spans="2:10" x14ac:dyDescent="0.25">
      <c r="B36" s="131"/>
      <c r="C36" s="129"/>
      <c r="D36" s="132"/>
      <c r="E36" s="132"/>
      <c r="F36" s="132"/>
      <c r="G36" s="132"/>
      <c r="H36" s="132"/>
      <c r="I36" s="132"/>
      <c r="J36" s="132"/>
    </row>
    <row r="37" spans="2:10" x14ac:dyDescent="0.25">
      <c r="B37" s="312"/>
      <c r="C37" s="133" t="s">
        <v>931</v>
      </c>
      <c r="D37" s="340">
        <f>+PL!B44</f>
        <v>262202.27139961865</v>
      </c>
      <c r="E37" s="340">
        <f>+PL!C44</f>
        <v>457591.10651717661</v>
      </c>
      <c r="F37" s="340">
        <f>+PL!D44</f>
        <v>773272.51050126005</v>
      </c>
      <c r="G37" s="340">
        <f>+PL!E44</f>
        <v>1101965.6710782663</v>
      </c>
      <c r="H37" s="340">
        <f>+PL!F44</f>
        <v>1416161.7957258257</v>
      </c>
      <c r="I37" s="340">
        <f>+PL!G44</f>
        <v>1727392.6332137941</v>
      </c>
      <c r="J37" s="340">
        <f>+PL!H44</f>
        <v>2026849.9476962411</v>
      </c>
    </row>
    <row r="38" spans="2:10" x14ac:dyDescent="0.25">
      <c r="B38" s="312"/>
      <c r="C38" s="134" t="s">
        <v>932</v>
      </c>
      <c r="D38" s="340">
        <f>+D35-D37</f>
        <v>2070130.1588142957</v>
      </c>
      <c r="E38" s="340">
        <f t="shared" ref="E38:J38" si="7">+E35-E37</f>
        <v>2307165.9883796563</v>
      </c>
      <c r="F38" s="340">
        <f t="shared" si="7"/>
        <v>2937848.4037382016</v>
      </c>
      <c r="G38" s="340">
        <f t="shared" si="7"/>
        <v>3646652.9141814122</v>
      </c>
      <c r="H38" s="340">
        <f t="shared" si="7"/>
        <v>4347737.6369668208</v>
      </c>
      <c r="I38" s="340">
        <f t="shared" si="7"/>
        <v>5068163.6133720418</v>
      </c>
      <c r="J38" s="340">
        <f t="shared" si="7"/>
        <v>5778348.2425852492</v>
      </c>
    </row>
    <row r="39" spans="2:10" x14ac:dyDescent="0.25">
      <c r="B39" s="312"/>
      <c r="C39" s="133" t="str">
        <f>+PL!A47</f>
        <v>Dividend appropriation (25% of Net Profit)</v>
      </c>
      <c r="D39" s="133">
        <f>+PL!B47</f>
        <v>0</v>
      </c>
      <c r="E39" s="135">
        <f>+PL!C47</f>
        <v>517532.53970357485</v>
      </c>
      <c r="F39" s="135">
        <f>+PL!D47</f>
        <v>576791.49709491408</v>
      </c>
      <c r="G39" s="135">
        <f>+PL!E47</f>
        <v>734462.1009345504</v>
      </c>
      <c r="H39" s="135">
        <f>+PL!F47</f>
        <v>911663.22854535305</v>
      </c>
      <c r="I39" s="135">
        <f>+PL!G47</f>
        <v>1086934.4092417052</v>
      </c>
      <c r="J39" s="135">
        <f>+PL!H47</f>
        <v>1267040.9033430105</v>
      </c>
    </row>
    <row r="40" spans="2:10" x14ac:dyDescent="0.25">
      <c r="B40" s="312"/>
      <c r="C40" s="134" t="s">
        <v>933</v>
      </c>
      <c r="D40" s="340">
        <f>+D38-D39</f>
        <v>2070130.1588142957</v>
      </c>
      <c r="E40" s="340">
        <f>+D40+E38-E39</f>
        <v>3859763.6074903766</v>
      </c>
      <c r="F40" s="340">
        <f t="shared" ref="F40:J40" si="8">+E40+F38-F39</f>
        <v>6220820.5141336638</v>
      </c>
      <c r="G40" s="340">
        <f t="shared" si="8"/>
        <v>9133011.3273805268</v>
      </c>
      <c r="H40" s="340">
        <f t="shared" si="8"/>
        <v>12569085.735801995</v>
      </c>
      <c r="I40" s="340">
        <f t="shared" si="8"/>
        <v>16550314.939932331</v>
      </c>
      <c r="J40" s="340">
        <f t="shared" si="8"/>
        <v>21061622.27917457</v>
      </c>
    </row>
    <row r="44" spans="2:10" x14ac:dyDescent="0.25">
      <c r="B44" s="108" t="s">
        <v>934</v>
      </c>
    </row>
    <row r="45" spans="2:10" ht="15.75" thickBot="1" x14ac:dyDescent="0.3"/>
    <row r="46" spans="2:10" ht="15.75" thickBot="1" x14ac:dyDescent="0.3">
      <c r="B46" s="136" t="s">
        <v>227</v>
      </c>
      <c r="C46" s="137" t="s">
        <v>0</v>
      </c>
      <c r="D46" s="137" t="s">
        <v>2</v>
      </c>
      <c r="E46" s="137" t="s">
        <v>3</v>
      </c>
      <c r="F46" s="137" t="s">
        <v>4</v>
      </c>
      <c r="G46" s="137" t="s">
        <v>5</v>
      </c>
      <c r="H46" s="137" t="s">
        <v>6</v>
      </c>
      <c r="I46" s="137" t="s">
        <v>165</v>
      </c>
      <c r="J46" s="137" t="s">
        <v>164</v>
      </c>
    </row>
    <row r="47" spans="2:10" ht="15.75" thickBot="1" x14ac:dyDescent="0.3">
      <c r="B47" s="719" t="s">
        <v>935</v>
      </c>
      <c r="C47" s="720"/>
      <c r="D47" s="107"/>
      <c r="E47" s="107"/>
      <c r="F47" s="107"/>
      <c r="G47" s="107"/>
      <c r="H47" s="107"/>
      <c r="I47" s="107"/>
      <c r="J47" s="107"/>
    </row>
    <row r="48" spans="2:10" ht="15.75" thickBot="1" x14ac:dyDescent="0.3">
      <c r="B48" s="138">
        <v>1</v>
      </c>
      <c r="C48" s="139" t="s">
        <v>126</v>
      </c>
      <c r="D48" s="125">
        <f>+ROUND((CF!C6),0)</f>
        <v>37995929</v>
      </c>
      <c r="E48" s="125">
        <f>+ROUND((CF!D6),0)</f>
        <v>42806807</v>
      </c>
      <c r="F48" s="125">
        <f>+ROUND((CF!E6),0)</f>
        <v>48137309</v>
      </c>
      <c r="G48" s="125">
        <f>+ROUND((CF!F6),0)</f>
        <v>53893844</v>
      </c>
      <c r="H48" s="125">
        <f>+ROUND((CF!G6),0)</f>
        <v>60105689</v>
      </c>
      <c r="I48" s="125">
        <f>+ROUND((CF!H6),0)</f>
        <v>66777183</v>
      </c>
      <c r="J48" s="125">
        <f>+ROUND((CF!I6),0)</f>
        <v>73965561</v>
      </c>
    </row>
    <row r="49" spans="2:10" ht="15.75" thickBot="1" x14ac:dyDescent="0.3">
      <c r="B49" s="140"/>
      <c r="C49" s="125"/>
      <c r="D49" s="125"/>
      <c r="E49" s="125"/>
      <c r="F49" s="125"/>
      <c r="G49" s="125"/>
      <c r="H49" s="125"/>
      <c r="I49" s="125"/>
      <c r="J49" s="125"/>
    </row>
    <row r="50" spans="2:10" ht="15.75" thickBot="1" x14ac:dyDescent="0.3">
      <c r="B50" s="140"/>
      <c r="C50" s="125"/>
      <c r="D50" s="125"/>
      <c r="E50" s="125"/>
      <c r="F50" s="125"/>
      <c r="G50" s="125"/>
      <c r="H50" s="125"/>
      <c r="I50" s="125"/>
      <c r="J50" s="125"/>
    </row>
    <row r="51" spans="2:10" ht="15.75" thickBot="1" x14ac:dyDescent="0.3">
      <c r="B51" s="138">
        <v>2</v>
      </c>
      <c r="C51" s="139" t="s">
        <v>936</v>
      </c>
      <c r="D51" s="125">
        <f>+ROUND((CF!C11),0)</f>
        <v>868421</v>
      </c>
      <c r="E51" s="125">
        <f>+ROUND((CF!D11),0)</f>
        <v>430462</v>
      </c>
      <c r="F51" s="125">
        <f>+ROUND((CF!E11),0)</f>
        <v>162783</v>
      </c>
      <c r="G51" s="125">
        <f>+ROUND((CF!F11),0)</f>
        <v>175856</v>
      </c>
      <c r="H51" s="125">
        <f>+ROUND((CF!G11),0)</f>
        <v>189829</v>
      </c>
      <c r="I51" s="125">
        <f>+ROUND((CF!H11),0)</f>
        <v>203731</v>
      </c>
      <c r="J51" s="125">
        <f>+ROUND((CF!I11),0)</f>
        <v>219575</v>
      </c>
    </row>
    <row r="52" spans="2:10" ht="15.75" thickBot="1" x14ac:dyDescent="0.3">
      <c r="B52" s="138">
        <v>3</v>
      </c>
      <c r="C52" s="139" t="s">
        <v>228</v>
      </c>
      <c r="D52" s="125">
        <f>+ROUND((CF!C7),0)</f>
        <v>1893604</v>
      </c>
      <c r="E52" s="125">
        <f>+ROUND((CF!D7),0)</f>
        <v>0</v>
      </c>
      <c r="F52" s="125">
        <f>+ROUND((CF!E7),0)</f>
        <v>0</v>
      </c>
      <c r="G52" s="125">
        <f>+ROUND((CF!F7),0)</f>
        <v>0</v>
      </c>
      <c r="H52" s="125">
        <f>+ROUND((CF!G7),0)</f>
        <v>0</v>
      </c>
      <c r="I52" s="125">
        <f>+ROUND((CF!H7),0)</f>
        <v>0</v>
      </c>
      <c r="J52" s="125">
        <f>+ROUND((CF!I7),0)</f>
        <v>0</v>
      </c>
    </row>
    <row r="53" spans="2:10" ht="15.75" thickBot="1" x14ac:dyDescent="0.3">
      <c r="B53" s="138">
        <v>4</v>
      </c>
      <c r="C53" s="139" t="s">
        <v>937</v>
      </c>
      <c r="D53" s="125">
        <f>+ROUND((CF!C9),0)</f>
        <v>10093560</v>
      </c>
      <c r="E53" s="125"/>
      <c r="F53" s="125"/>
      <c r="G53" s="125"/>
      <c r="H53" s="125"/>
      <c r="I53" s="125"/>
      <c r="J53" s="125"/>
    </row>
    <row r="54" spans="2:10" ht="15.75" thickBot="1" x14ac:dyDescent="0.3">
      <c r="B54" s="138">
        <v>5</v>
      </c>
      <c r="C54" s="139" t="s">
        <v>938</v>
      </c>
      <c r="D54" s="125">
        <f>+ROUND((CF!C10),0)</f>
        <v>6069848</v>
      </c>
      <c r="E54" s="125"/>
      <c r="F54" s="125"/>
      <c r="G54" s="125"/>
      <c r="H54" s="125"/>
      <c r="I54" s="125"/>
      <c r="J54" s="125"/>
    </row>
    <row r="55" spans="2:10" ht="15.75" thickBot="1" x14ac:dyDescent="0.3">
      <c r="B55" s="141">
        <v>6</v>
      </c>
      <c r="C55" s="142" t="s">
        <v>1030</v>
      </c>
      <c r="D55" s="143">
        <f>ROUND((+SUM(TL!D10:D15)),0)</f>
        <v>364191</v>
      </c>
      <c r="E55" s="143"/>
      <c r="F55" s="143"/>
      <c r="G55" s="143"/>
      <c r="H55" s="143"/>
      <c r="I55" s="143"/>
      <c r="J55" s="143"/>
    </row>
    <row r="56" spans="2:10" ht="16.5" thickTop="1" thickBot="1" x14ac:dyDescent="0.3">
      <c r="B56" s="144"/>
      <c r="C56" s="145" t="s">
        <v>231</v>
      </c>
      <c r="D56" s="145">
        <f>ROUND((SUM(D48:D55)),0)</f>
        <v>57285553</v>
      </c>
      <c r="E56" s="145">
        <f t="shared" ref="E56:J56" si="9">ROUND((SUM(E48:E55)),0)</f>
        <v>43237269</v>
      </c>
      <c r="F56" s="145">
        <f t="shared" si="9"/>
        <v>48300092</v>
      </c>
      <c r="G56" s="145">
        <f t="shared" si="9"/>
        <v>54069700</v>
      </c>
      <c r="H56" s="145">
        <f t="shared" si="9"/>
        <v>60295518</v>
      </c>
      <c r="I56" s="145">
        <f t="shared" si="9"/>
        <v>66980914</v>
      </c>
      <c r="J56" s="145">
        <f t="shared" si="9"/>
        <v>74185136</v>
      </c>
    </row>
    <row r="57" spans="2:10" ht="16.5" thickTop="1" thickBot="1" x14ac:dyDescent="0.3">
      <c r="B57" s="721" t="s">
        <v>232</v>
      </c>
      <c r="C57" s="722"/>
      <c r="D57" s="125"/>
      <c r="E57" s="125"/>
      <c r="F57" s="125"/>
      <c r="G57" s="125"/>
      <c r="H57" s="125"/>
      <c r="I57" s="125"/>
      <c r="J57" s="125"/>
    </row>
    <row r="58" spans="2:10" ht="15.75" thickBot="1" x14ac:dyDescent="0.3">
      <c r="B58" s="138">
        <v>1</v>
      </c>
      <c r="C58" s="139" t="s">
        <v>233</v>
      </c>
      <c r="D58" s="125"/>
      <c r="E58" s="125"/>
      <c r="F58" s="125"/>
      <c r="G58" s="125"/>
      <c r="H58" s="125"/>
      <c r="I58" s="125"/>
      <c r="J58" s="125"/>
    </row>
    <row r="59" spans="2:10" ht="15.75" thickBot="1" x14ac:dyDescent="0.3">
      <c r="B59" s="146" t="s">
        <v>234</v>
      </c>
      <c r="C59" s="125" t="str">
        <f>+CF!B16</f>
        <v>Land, Wareshouse and Processing Unit</v>
      </c>
      <c r="D59" s="125">
        <f>+CF!C16</f>
        <v>7230000</v>
      </c>
      <c r="E59" s="125"/>
      <c r="F59" s="125"/>
      <c r="G59" s="125"/>
      <c r="H59" s="125"/>
      <c r="I59" s="125"/>
      <c r="J59" s="125"/>
    </row>
    <row r="60" spans="2:10" ht="15.75" thickBot="1" x14ac:dyDescent="0.3">
      <c r="B60" s="146" t="s">
        <v>235</v>
      </c>
      <c r="C60" s="125" t="str">
        <f>+CF!B17</f>
        <v>Machinery and Equipment</v>
      </c>
      <c r="D60" s="125">
        <f>+CF!C17</f>
        <v>8612700</v>
      </c>
      <c r="E60" s="125"/>
      <c r="F60" s="125"/>
      <c r="G60" s="125"/>
      <c r="H60" s="125"/>
      <c r="I60" s="125"/>
      <c r="J60" s="125"/>
    </row>
    <row r="61" spans="2:10" ht="15.75" thickBot="1" x14ac:dyDescent="0.3">
      <c r="B61" s="146" t="s">
        <v>271</v>
      </c>
      <c r="C61" s="125" t="str">
        <f>+CF!B18</f>
        <v>Furniture &amp; Fixture</v>
      </c>
      <c r="D61" s="125">
        <f>+CF!C18</f>
        <v>300400</v>
      </c>
      <c r="E61" s="125"/>
      <c r="F61" s="125"/>
      <c r="G61" s="125"/>
      <c r="H61" s="125"/>
      <c r="I61" s="125"/>
      <c r="J61" s="125"/>
    </row>
    <row r="62" spans="2:10" ht="15.75" thickBot="1" x14ac:dyDescent="0.3">
      <c r="B62" s="146" t="s">
        <v>273</v>
      </c>
      <c r="C62" s="125" t="str">
        <f>+CF!B19</f>
        <v>IT Infrastructure</v>
      </c>
      <c r="D62" s="125">
        <f>+CF!C19</f>
        <v>179500</v>
      </c>
      <c r="E62" s="125"/>
      <c r="F62" s="125"/>
      <c r="G62" s="125"/>
      <c r="H62" s="125"/>
      <c r="I62" s="125"/>
      <c r="J62" s="125"/>
    </row>
    <row r="63" spans="2:10" ht="15.75" thickBot="1" x14ac:dyDescent="0.3">
      <c r="B63" s="146" t="s">
        <v>330</v>
      </c>
      <c r="C63" s="125" t="str">
        <f>+CF!B20</f>
        <v>Vehicle</v>
      </c>
      <c r="D63" s="125">
        <f>+CF!C20</f>
        <v>944938</v>
      </c>
      <c r="E63" s="125"/>
      <c r="F63" s="125"/>
      <c r="G63" s="125"/>
      <c r="H63" s="125"/>
      <c r="I63" s="125"/>
      <c r="J63" s="125"/>
    </row>
    <row r="64" spans="2:10" ht="15.75" thickBot="1" x14ac:dyDescent="0.3">
      <c r="B64" s="146" t="s">
        <v>331</v>
      </c>
      <c r="C64" s="125" t="str">
        <f>+CF!B21</f>
        <v>Premilinary Expenses</v>
      </c>
      <c r="D64" s="125">
        <f>+CF!C21</f>
        <v>500000</v>
      </c>
      <c r="E64" s="125"/>
      <c r="F64" s="125"/>
      <c r="G64" s="125"/>
      <c r="H64" s="125"/>
      <c r="I64" s="125"/>
      <c r="J64" s="125"/>
    </row>
    <row r="65" spans="2:10" ht="15.75" thickBot="1" x14ac:dyDescent="0.3">
      <c r="B65" s="138">
        <v>2</v>
      </c>
      <c r="C65" s="139" t="s">
        <v>236</v>
      </c>
      <c r="D65" s="125"/>
      <c r="E65" s="125"/>
      <c r="F65" s="125"/>
      <c r="G65" s="125"/>
      <c r="H65" s="125"/>
      <c r="I65" s="125"/>
      <c r="J65" s="125"/>
    </row>
    <row r="66" spans="2:10" ht="15.75" thickBot="1" x14ac:dyDescent="0.3">
      <c r="B66" s="146" t="s">
        <v>234</v>
      </c>
      <c r="C66" s="125" t="s">
        <v>939</v>
      </c>
      <c r="D66" s="125">
        <f>+ROUND((PL!B30),0)</f>
        <v>2638329</v>
      </c>
      <c r="E66" s="125">
        <f>+ROUND((PL!C30),0)</f>
        <v>2752733</v>
      </c>
      <c r="F66" s="125">
        <f>+ROUND((PL!D30),0)</f>
        <v>2873324</v>
      </c>
      <c r="G66" s="125">
        <f>+ROUND((PL!E30),0)</f>
        <v>3000412</v>
      </c>
      <c r="H66" s="125">
        <f>+ROUND((PL!F30),0)</f>
        <v>3134322</v>
      </c>
      <c r="I66" s="125">
        <f>+ROUND((PL!G30),0)</f>
        <v>3275395</v>
      </c>
      <c r="J66" s="125">
        <f>+ROUND((PL!H30),0)</f>
        <v>3423988</v>
      </c>
    </row>
    <row r="67" spans="2:10" ht="15.75" thickBot="1" x14ac:dyDescent="0.3">
      <c r="B67" s="146" t="s">
        <v>235</v>
      </c>
      <c r="C67" s="125" t="s">
        <v>307</v>
      </c>
      <c r="D67" s="125">
        <f>+ROUND((PL!B20),0)</f>
        <v>31175838</v>
      </c>
      <c r="E67" s="125">
        <f>+ROUND((PL!C20),0)</f>
        <v>35541585</v>
      </c>
      <c r="F67" s="125">
        <f>+ROUND((PL!D20),0)</f>
        <v>39985366</v>
      </c>
      <c r="G67" s="125">
        <f>+ROUND((PL!E20),0)</f>
        <v>44781315</v>
      </c>
      <c r="H67" s="125">
        <f>+ROUND((PL!F20),0)</f>
        <v>49953562</v>
      </c>
      <c r="I67" s="125">
        <f>+ROUND((PL!G20),0)</f>
        <v>55527878</v>
      </c>
      <c r="J67" s="125">
        <f>+ROUND((PL!H20),0)</f>
        <v>61531672</v>
      </c>
    </row>
    <row r="68" spans="2:10" ht="15.75" thickBot="1" x14ac:dyDescent="0.3">
      <c r="B68" s="138">
        <v>3</v>
      </c>
      <c r="C68" s="139" t="s">
        <v>494</v>
      </c>
      <c r="D68" s="125"/>
      <c r="E68" s="125"/>
      <c r="F68" s="125"/>
      <c r="G68" s="125"/>
      <c r="H68" s="125"/>
      <c r="I68" s="125"/>
      <c r="J68" s="125"/>
    </row>
    <row r="69" spans="2:10" ht="15.75" thickBot="1" x14ac:dyDescent="0.3">
      <c r="B69" s="146" t="s">
        <v>234</v>
      </c>
      <c r="C69" s="125" t="s">
        <v>940</v>
      </c>
      <c r="D69" s="125">
        <f>+ROUND((CF!C29),0)</f>
        <v>104211</v>
      </c>
      <c r="E69" s="125">
        <f>+ROUND((CF!D29),0)</f>
        <v>155866</v>
      </c>
      <c r="F69" s="125">
        <f>+ROUND((CF!E29),0)</f>
        <v>175400</v>
      </c>
      <c r="G69" s="125">
        <f>+ROUND((CF!F29),0)</f>
        <v>196503</v>
      </c>
      <c r="H69" s="125">
        <f>+ROUND((CF!G29),0)</f>
        <v>219282</v>
      </c>
      <c r="I69" s="125">
        <f>+ROUND((CF!H29),0)</f>
        <v>243730</v>
      </c>
      <c r="J69" s="125">
        <f>+ROUND((CF!I29),0)</f>
        <v>270079</v>
      </c>
    </row>
    <row r="70" spans="2:10" ht="15.75" thickBot="1" x14ac:dyDescent="0.3">
      <c r="B70" s="146" t="s">
        <v>235</v>
      </c>
      <c r="C70" s="125" t="s">
        <v>941</v>
      </c>
      <c r="D70" s="125">
        <f>+ROUND((CF!C28),0)</f>
        <v>0</v>
      </c>
      <c r="E70" s="125">
        <f>+ROUND((CF!D28),0)</f>
        <v>0</v>
      </c>
      <c r="F70" s="125">
        <f>+ROUND((CF!E28),0)</f>
        <v>0</v>
      </c>
      <c r="G70" s="125">
        <f>+ROUND((CF!F28),0)</f>
        <v>0</v>
      </c>
      <c r="H70" s="125">
        <f>+ROUND((CF!G28),0)</f>
        <v>0</v>
      </c>
      <c r="I70" s="125">
        <f>+ROUND((CF!H28),0)</f>
        <v>0</v>
      </c>
      <c r="J70" s="125">
        <f>+ROUND((CF!I28),0)</f>
        <v>0</v>
      </c>
    </row>
    <row r="71" spans="2:10" ht="15.75" thickBot="1" x14ac:dyDescent="0.3">
      <c r="B71" s="146" t="s">
        <v>271</v>
      </c>
      <c r="C71" s="125" t="s">
        <v>1027</v>
      </c>
      <c r="D71" s="125">
        <f>+ROUND((CF!C27),0)</f>
        <v>710596</v>
      </c>
      <c r="E71" s="125">
        <f>+ROUND((CF!D27),0)</f>
        <v>557242</v>
      </c>
      <c r="F71" s="125">
        <f>+ROUND((CF!E27),0)</f>
        <v>357475</v>
      </c>
      <c r="G71" s="125">
        <f>+ROUND((CF!F27),0)</f>
        <v>132372</v>
      </c>
      <c r="H71" s="125">
        <f>+ROUND((CF!G27),0)</f>
        <v>0</v>
      </c>
      <c r="I71" s="125">
        <f>+ROUND((CF!H27),0)</f>
        <v>0</v>
      </c>
      <c r="J71" s="125">
        <f>+ROUND((CF!I27),0)</f>
        <v>0</v>
      </c>
    </row>
    <row r="72" spans="2:10" ht="15.75" thickBot="1" x14ac:dyDescent="0.3">
      <c r="B72" s="146" t="s">
        <v>273</v>
      </c>
      <c r="C72" s="125" t="s">
        <v>1028</v>
      </c>
      <c r="D72" s="125">
        <f>+ROUND((CF!C26),0)</f>
        <v>719787</v>
      </c>
      <c r="E72" s="125">
        <f>+ROUND((CF!D26),0)</f>
        <v>1575141</v>
      </c>
      <c r="F72" s="125">
        <f>+ROUND((CF!E26),0)</f>
        <v>1774909</v>
      </c>
      <c r="G72" s="125">
        <f>+ROUND((CF!F26),0)</f>
        <v>2000012</v>
      </c>
      <c r="H72" s="125">
        <f>+ROUND((CF!G26),0)</f>
        <v>0</v>
      </c>
      <c r="I72" s="125">
        <f>+ROUND((CF!H26),0)</f>
        <v>0</v>
      </c>
      <c r="J72" s="125">
        <f>+ROUND((CF!I26),0)</f>
        <v>0</v>
      </c>
    </row>
    <row r="73" spans="2:10" ht="15.75" thickBot="1" x14ac:dyDescent="0.3">
      <c r="B73" s="138">
        <v>4</v>
      </c>
      <c r="C73" s="139" t="s">
        <v>241</v>
      </c>
      <c r="D73" s="125">
        <f>+ROUND((CF!C30),0)</f>
        <v>262202</v>
      </c>
      <c r="E73" s="125">
        <f>+ROUND((CF!D30),0)</f>
        <v>457591</v>
      </c>
      <c r="F73" s="125">
        <f>+ROUND((CF!E30),0)</f>
        <v>773273</v>
      </c>
      <c r="G73" s="125">
        <f>+ROUND((CF!F30),0)</f>
        <v>1101966</v>
      </c>
      <c r="H73" s="125">
        <f>+ROUND((CF!G30),0)</f>
        <v>1416162</v>
      </c>
      <c r="I73" s="125">
        <f>+ROUND((CF!H30),0)</f>
        <v>1727393</v>
      </c>
      <c r="J73" s="125">
        <f>+ROUND((CF!I30),0)</f>
        <v>2026850</v>
      </c>
    </row>
    <row r="74" spans="2:10" ht="15.75" thickBot="1" x14ac:dyDescent="0.3">
      <c r="B74" s="138">
        <v>5</v>
      </c>
      <c r="C74" s="125" t="str">
        <f>+CF!B32</f>
        <v>Dividend (25% of Net Profit after Tax)</v>
      </c>
      <c r="D74" s="125">
        <f>+CF!C32</f>
        <v>0</v>
      </c>
      <c r="E74" s="147">
        <f>+CF!D32</f>
        <v>517532.53970357485</v>
      </c>
      <c r="F74" s="147">
        <f>+CF!E32</f>
        <v>576791.49709491408</v>
      </c>
      <c r="G74" s="147">
        <f>+CF!F32</f>
        <v>734462.1009345504</v>
      </c>
      <c r="H74" s="147">
        <f>+CF!G32</f>
        <v>911663.22854535305</v>
      </c>
      <c r="I74" s="147">
        <f>+CF!H32</f>
        <v>1086934.4092417052</v>
      </c>
      <c r="J74" s="147">
        <f>+CF!I32</f>
        <v>1267040.9033430105</v>
      </c>
    </row>
    <row r="75" spans="2:10" ht="15.75" thickBot="1" x14ac:dyDescent="0.3">
      <c r="B75" s="140"/>
      <c r="C75" s="139" t="s">
        <v>242</v>
      </c>
      <c r="D75" s="139">
        <f t="shared" ref="D75:J75" si="10">SUM(D59:D74)</f>
        <v>53378501</v>
      </c>
      <c r="E75" s="139">
        <f t="shared" si="10"/>
        <v>41557690.539703578</v>
      </c>
      <c r="F75" s="139">
        <f t="shared" si="10"/>
        <v>46516538.497094914</v>
      </c>
      <c r="G75" s="139">
        <f t="shared" si="10"/>
        <v>51947042.10093455</v>
      </c>
      <c r="H75" s="139">
        <f t="shared" si="10"/>
        <v>55634991.228545353</v>
      </c>
      <c r="I75" s="139">
        <f t="shared" si="10"/>
        <v>61861330.409241706</v>
      </c>
      <c r="J75" s="139">
        <f t="shared" si="10"/>
        <v>68519629.903343007</v>
      </c>
    </row>
    <row r="76" spans="2:10" ht="15.75" thickBot="1" x14ac:dyDescent="0.3">
      <c r="B76" s="140"/>
      <c r="C76" s="139" t="s">
        <v>243</v>
      </c>
      <c r="D76" s="139">
        <f>+D56-D75</f>
        <v>3907052</v>
      </c>
      <c r="E76" s="139">
        <f t="shared" ref="E76:J76" si="11">+E56-E75</f>
        <v>1679578.4602964222</v>
      </c>
      <c r="F76" s="139">
        <f t="shared" si="11"/>
        <v>1783553.5029050857</v>
      </c>
      <c r="G76" s="139">
        <f t="shared" si="11"/>
        <v>2122657.8990654498</v>
      </c>
      <c r="H76" s="139">
        <f t="shared" si="11"/>
        <v>4660526.7714546472</v>
      </c>
      <c r="I76" s="139">
        <f t="shared" si="11"/>
        <v>5119583.5907582939</v>
      </c>
      <c r="J76" s="139">
        <f t="shared" si="11"/>
        <v>5665506.096656993</v>
      </c>
    </row>
    <row r="77" spans="2:10" ht="15.75" thickBot="1" x14ac:dyDescent="0.3">
      <c r="B77" s="138"/>
      <c r="C77" s="125" t="s">
        <v>244</v>
      </c>
      <c r="D77" s="125"/>
      <c r="E77" s="125">
        <f>+D78</f>
        <v>3907052</v>
      </c>
      <c r="F77" s="147">
        <f t="shared" ref="F77:J77" si="12">+E78</f>
        <v>5586630.4602964222</v>
      </c>
      <c r="G77" s="147">
        <f t="shared" si="12"/>
        <v>7370183.9632015079</v>
      </c>
      <c r="H77" s="147">
        <f t="shared" si="12"/>
        <v>9492841.8622669578</v>
      </c>
      <c r="I77" s="147">
        <f t="shared" si="12"/>
        <v>14153368.633721605</v>
      </c>
      <c r="J77" s="147">
        <f t="shared" si="12"/>
        <v>19272952.224479899</v>
      </c>
    </row>
    <row r="78" spans="2:10" ht="15.75" thickBot="1" x14ac:dyDescent="0.3">
      <c r="B78" s="140"/>
      <c r="C78" s="139" t="s">
        <v>245</v>
      </c>
      <c r="D78" s="139">
        <f>+D76+D77</f>
        <v>3907052</v>
      </c>
      <c r="E78" s="148">
        <f t="shared" ref="E78:J78" si="13">+E76+E77</f>
        <v>5586630.4602964222</v>
      </c>
      <c r="F78" s="148">
        <f t="shared" si="13"/>
        <v>7370183.9632015079</v>
      </c>
      <c r="G78" s="148">
        <f t="shared" si="13"/>
        <v>9492841.8622669578</v>
      </c>
      <c r="H78" s="148">
        <f t="shared" si="13"/>
        <v>14153368.633721605</v>
      </c>
      <c r="I78" s="148">
        <f t="shared" si="13"/>
        <v>19272952.224479899</v>
      </c>
      <c r="J78" s="148">
        <f t="shared" si="13"/>
        <v>24938458.321136892</v>
      </c>
    </row>
    <row r="84" spans="2:10" ht="15.75" thickBot="1" x14ac:dyDescent="0.3">
      <c r="B84" s="108" t="s">
        <v>942</v>
      </c>
    </row>
    <row r="85" spans="2:10" ht="15.75" thickBot="1" x14ac:dyDescent="0.3">
      <c r="B85" s="149"/>
      <c r="C85" s="149" t="s">
        <v>0</v>
      </c>
      <c r="D85" s="150" t="s">
        <v>2</v>
      </c>
      <c r="E85" s="150" t="s">
        <v>3</v>
      </c>
      <c r="F85" s="150" t="s">
        <v>4</v>
      </c>
      <c r="G85" s="150" t="s">
        <v>5</v>
      </c>
      <c r="H85" s="150" t="s">
        <v>6</v>
      </c>
      <c r="I85" s="100" t="s">
        <v>165</v>
      </c>
      <c r="J85" s="100" t="s">
        <v>164</v>
      </c>
    </row>
    <row r="86" spans="2:10" ht="15.75" thickBot="1" x14ac:dyDescent="0.3">
      <c r="B86" s="151"/>
      <c r="C86" s="151" t="s">
        <v>48</v>
      </c>
      <c r="D86" s="152"/>
      <c r="E86" s="152"/>
      <c r="F86" s="152"/>
      <c r="G86" s="152"/>
      <c r="H86" s="152"/>
      <c r="I86" s="102"/>
      <c r="J86" s="102"/>
    </row>
    <row r="87" spans="2:10" ht="15.75" thickBot="1" x14ac:dyDescent="0.3">
      <c r="B87" s="153"/>
      <c r="C87" s="153" t="s">
        <v>49</v>
      </c>
      <c r="D87" s="152"/>
      <c r="E87" s="152"/>
      <c r="F87" s="152"/>
      <c r="G87" s="152"/>
      <c r="H87" s="152"/>
      <c r="I87" s="102"/>
      <c r="J87" s="102"/>
    </row>
    <row r="88" spans="2:10" ht="15.75" thickBot="1" x14ac:dyDescent="0.3">
      <c r="B88" s="341"/>
      <c r="C88" s="341" t="s">
        <v>246</v>
      </c>
      <c r="D88" s="154">
        <f>+BS!B8</f>
        <v>2384967.202073805</v>
      </c>
      <c r="E88" s="154">
        <f>+BS!C8</f>
        <v>3923556.6990535259</v>
      </c>
      <c r="F88" s="154">
        <f>+BS!D8</f>
        <v>5544328.4836806357</v>
      </c>
      <c r="G88" s="154">
        <f>+BS!E8</f>
        <v>7491131.3298116028</v>
      </c>
      <c r="H88" s="154">
        <f>+BS!F8</f>
        <v>11961829.282633074</v>
      </c>
      <c r="I88" s="154">
        <f>+BS!G8</f>
        <v>16877682.031163409</v>
      </c>
      <c r="J88" s="154">
        <f>+BS!H8</f>
        <v>22323612.914805651</v>
      </c>
    </row>
    <row r="89" spans="2:10" ht="15.75" thickBot="1" x14ac:dyDescent="0.3">
      <c r="B89" s="342"/>
      <c r="C89" s="342" t="s">
        <v>247</v>
      </c>
      <c r="D89" s="155"/>
      <c r="E89" s="155"/>
      <c r="F89" s="155"/>
      <c r="G89" s="155"/>
      <c r="H89" s="155"/>
      <c r="I89" s="156"/>
      <c r="J89" s="156"/>
    </row>
    <row r="90" spans="2:10" ht="15.75" thickBot="1" x14ac:dyDescent="0.3">
      <c r="B90" s="342"/>
      <c r="C90" s="342" t="s">
        <v>582</v>
      </c>
      <c r="D90" s="152"/>
      <c r="E90" s="152"/>
      <c r="F90" s="152"/>
      <c r="G90" s="152"/>
      <c r="H90" s="152"/>
      <c r="I90" s="102"/>
      <c r="J90" s="102"/>
    </row>
    <row r="91" spans="2:10" ht="15.75" thickBot="1" x14ac:dyDescent="0.3">
      <c r="B91" s="153"/>
      <c r="C91" s="153" t="s">
        <v>248</v>
      </c>
      <c r="D91" s="154">
        <f t="shared" ref="D91:J91" si="14">SUM(D88:D90)</f>
        <v>2384967.202073805</v>
      </c>
      <c r="E91" s="154">
        <f t="shared" si="14"/>
        <v>3923556.6990535259</v>
      </c>
      <c r="F91" s="154">
        <f t="shared" si="14"/>
        <v>5544328.4836806357</v>
      </c>
      <c r="G91" s="154">
        <f t="shared" si="14"/>
        <v>7491131.3298116028</v>
      </c>
      <c r="H91" s="154">
        <f t="shared" si="14"/>
        <v>11961829.282633074</v>
      </c>
      <c r="I91" s="157">
        <f t="shared" si="14"/>
        <v>16877682.031163409</v>
      </c>
      <c r="J91" s="157">
        <f t="shared" si="14"/>
        <v>22323612.914805651</v>
      </c>
    </row>
    <row r="92" spans="2:10" ht="15.75" thickBot="1" x14ac:dyDescent="0.3">
      <c r="B92" s="153"/>
      <c r="C92" s="153"/>
      <c r="D92" s="152"/>
      <c r="E92" s="152"/>
      <c r="F92" s="152"/>
      <c r="G92" s="152"/>
      <c r="H92" s="152"/>
      <c r="I92" s="102"/>
      <c r="J92" s="102"/>
    </row>
    <row r="93" spans="2:10" ht="15.75" thickBot="1" x14ac:dyDescent="0.3">
      <c r="B93" s="158"/>
      <c r="C93" s="158" t="s">
        <v>249</v>
      </c>
      <c r="D93" s="154">
        <f>+BS!B13</f>
        <v>17267538</v>
      </c>
      <c r="E93" s="154">
        <f>+BS!C13</f>
        <v>16332914.455599999</v>
      </c>
      <c r="F93" s="154">
        <f>+BS!D13</f>
        <v>15398290.9112</v>
      </c>
      <c r="G93" s="154">
        <f>+BS!E13</f>
        <v>14463667.366799999</v>
      </c>
      <c r="H93" s="154">
        <f>+BS!F13</f>
        <v>13529043.8224</v>
      </c>
      <c r="I93" s="154">
        <f>+BS!G13</f>
        <v>12594420.277999999</v>
      </c>
      <c r="J93" s="154">
        <f>+BS!H13</f>
        <v>11659796.7336</v>
      </c>
    </row>
    <row r="94" spans="2:10" ht="15.75" thickBot="1" x14ac:dyDescent="0.3">
      <c r="B94" s="158"/>
      <c r="C94" s="158" t="s">
        <v>943</v>
      </c>
      <c r="D94" s="154">
        <f>+BS!B14</f>
        <v>934623.5443999999</v>
      </c>
      <c r="E94" s="154">
        <f>+BS!C14</f>
        <v>934623.5443999999</v>
      </c>
      <c r="F94" s="154">
        <f>+BS!D14</f>
        <v>934623.5443999999</v>
      </c>
      <c r="G94" s="154">
        <f>+BS!E14</f>
        <v>934623.5443999999</v>
      </c>
      <c r="H94" s="154">
        <f>+BS!F14</f>
        <v>934623.5443999999</v>
      </c>
      <c r="I94" s="154">
        <f>+BS!G14</f>
        <v>934623.5443999999</v>
      </c>
      <c r="J94" s="154">
        <f>+BS!H14</f>
        <v>934623.5443999999</v>
      </c>
    </row>
    <row r="95" spans="2:10" ht="15.75" thickBot="1" x14ac:dyDescent="0.3">
      <c r="B95" s="153"/>
      <c r="C95" s="153" t="s">
        <v>195</v>
      </c>
      <c r="D95" s="154">
        <f>+D93-D94</f>
        <v>16332914.455600001</v>
      </c>
      <c r="E95" s="154">
        <f t="shared" ref="E95:J95" si="15">+E93-E94</f>
        <v>15398290.9112</v>
      </c>
      <c r="F95" s="154">
        <f t="shared" si="15"/>
        <v>14463667.366800001</v>
      </c>
      <c r="G95" s="154">
        <f t="shared" si="15"/>
        <v>13529043.8224</v>
      </c>
      <c r="H95" s="154">
        <f t="shared" si="15"/>
        <v>12594420.278000001</v>
      </c>
      <c r="I95" s="154">
        <f t="shared" si="15"/>
        <v>11659796.7336</v>
      </c>
      <c r="J95" s="154">
        <f t="shared" si="15"/>
        <v>10725173.189200001</v>
      </c>
    </row>
    <row r="96" spans="2:10" ht="15.75" thickBot="1" x14ac:dyDescent="0.3">
      <c r="B96" s="153"/>
      <c r="C96" s="153"/>
      <c r="D96" s="152"/>
      <c r="E96" s="152"/>
      <c r="F96" s="152"/>
      <c r="G96" s="152"/>
      <c r="H96" s="152"/>
      <c r="I96" s="102"/>
      <c r="J96" s="102"/>
    </row>
    <row r="97" spans="2:10" ht="15.75" thickBot="1" x14ac:dyDescent="0.3">
      <c r="B97" s="153"/>
      <c r="C97" s="153" t="s">
        <v>944</v>
      </c>
      <c r="D97" s="154">
        <f>+BS!B18</f>
        <v>400000</v>
      </c>
      <c r="E97" s="154">
        <f>+BS!C18</f>
        <v>300000</v>
      </c>
      <c r="F97" s="154">
        <f>+BS!D18</f>
        <v>200000</v>
      </c>
      <c r="G97" s="154">
        <f>+BS!E18</f>
        <v>100000</v>
      </c>
      <c r="H97" s="154">
        <f>+BS!F18</f>
        <v>0</v>
      </c>
      <c r="I97" s="154">
        <f>+BS!G18</f>
        <v>0</v>
      </c>
      <c r="J97" s="154">
        <f>+BS!H18</f>
        <v>0</v>
      </c>
    </row>
    <row r="98" spans="2:10" ht="15.75" thickBot="1" x14ac:dyDescent="0.3">
      <c r="B98" s="158"/>
      <c r="C98" s="158"/>
      <c r="D98" s="152"/>
      <c r="E98" s="152"/>
      <c r="F98" s="152"/>
      <c r="G98" s="152"/>
      <c r="H98" s="152"/>
      <c r="I98" s="102"/>
      <c r="J98" s="102"/>
    </row>
    <row r="99" spans="2:10" ht="15.75" thickBot="1" x14ac:dyDescent="0.3">
      <c r="B99" s="153"/>
      <c r="C99" s="153" t="s">
        <v>251</v>
      </c>
      <c r="D99" s="159">
        <f>SUM(D95,D91,D97)</f>
        <v>19117881.657673806</v>
      </c>
      <c r="E99" s="159">
        <f t="shared" ref="E99:J99" si="16">SUM(E95,E91,E97)</f>
        <v>19621847.610253528</v>
      </c>
      <c r="F99" s="159">
        <f t="shared" si="16"/>
        <v>20207995.850480638</v>
      </c>
      <c r="G99" s="159">
        <f t="shared" si="16"/>
        <v>21120175.152211603</v>
      </c>
      <c r="H99" s="159">
        <f t="shared" si="16"/>
        <v>24556249.560633074</v>
      </c>
      <c r="I99" s="159">
        <f t="shared" si="16"/>
        <v>28537478.764763407</v>
      </c>
      <c r="J99" s="159">
        <f t="shared" si="16"/>
        <v>33048786.10400565</v>
      </c>
    </row>
    <row r="100" spans="2:10" ht="15.75" thickBot="1" x14ac:dyDescent="0.3">
      <c r="B100" s="158"/>
      <c r="C100" s="158"/>
      <c r="D100" s="152"/>
      <c r="E100" s="152"/>
      <c r="F100" s="152"/>
      <c r="G100" s="152"/>
      <c r="H100" s="152"/>
      <c r="I100" s="102"/>
      <c r="J100" s="102"/>
    </row>
    <row r="101" spans="2:10" ht="15.75" thickBot="1" x14ac:dyDescent="0.3">
      <c r="B101" s="151"/>
      <c r="C101" s="151" t="s">
        <v>252</v>
      </c>
      <c r="D101" s="152"/>
      <c r="E101" s="152"/>
      <c r="F101" s="152"/>
      <c r="G101" s="152"/>
      <c r="H101" s="152"/>
      <c r="I101" s="102"/>
      <c r="J101" s="102"/>
    </row>
    <row r="102" spans="2:10" ht="15.75" thickBot="1" x14ac:dyDescent="0.3">
      <c r="B102" s="153"/>
      <c r="C102" s="153" t="s">
        <v>253</v>
      </c>
      <c r="D102" s="152"/>
      <c r="E102" s="152"/>
      <c r="F102" s="152"/>
      <c r="G102" s="152"/>
      <c r="H102" s="152"/>
      <c r="I102" s="102"/>
      <c r="J102" s="102"/>
    </row>
    <row r="103" spans="2:10" ht="15.75" thickBot="1" x14ac:dyDescent="0.3">
      <c r="B103" s="342"/>
      <c r="C103" s="342" t="s">
        <v>945</v>
      </c>
      <c r="D103" s="160"/>
      <c r="E103" s="160"/>
      <c r="F103" s="160"/>
      <c r="G103" s="160"/>
      <c r="H103" s="160"/>
      <c r="I103" s="161"/>
      <c r="J103" s="161"/>
    </row>
    <row r="104" spans="2:10" ht="15.75" thickBot="1" x14ac:dyDescent="0.3">
      <c r="B104" s="342"/>
      <c r="C104" s="342" t="s">
        <v>255</v>
      </c>
      <c r="D104" s="155"/>
      <c r="E104" s="155"/>
      <c r="F104" s="155"/>
      <c r="G104" s="155"/>
      <c r="H104" s="155"/>
      <c r="I104" s="156"/>
      <c r="J104" s="156"/>
    </row>
    <row r="105" spans="2:10" ht="15.75" thickBot="1" x14ac:dyDescent="0.3">
      <c r="B105" s="342"/>
      <c r="C105" s="342" t="s">
        <v>256</v>
      </c>
      <c r="D105" s="162"/>
      <c r="E105" s="162"/>
      <c r="F105" s="162"/>
      <c r="G105" s="162"/>
      <c r="H105" s="162"/>
      <c r="I105" s="107"/>
      <c r="J105" s="107"/>
    </row>
    <row r="106" spans="2:10" ht="15.75" thickBot="1" x14ac:dyDescent="0.3">
      <c r="B106" s="153"/>
      <c r="C106" s="153" t="s">
        <v>946</v>
      </c>
      <c r="D106" s="160"/>
      <c r="E106" s="160"/>
      <c r="F106" s="160"/>
      <c r="G106" s="160"/>
      <c r="H106" s="160"/>
      <c r="I106" s="161"/>
      <c r="J106" s="161"/>
    </row>
    <row r="107" spans="2:10" ht="15.75" thickBot="1" x14ac:dyDescent="0.3">
      <c r="B107" s="153"/>
      <c r="C107" s="153" t="s">
        <v>947</v>
      </c>
      <c r="D107" s="163">
        <f>+BS!B28</f>
        <v>5350061.4988595098</v>
      </c>
      <c r="E107" s="163">
        <f>+BS!C28</f>
        <v>3774920.1779320715</v>
      </c>
      <c r="F107" s="163">
        <f>+BS!D28</f>
        <v>2000011.5115158991</v>
      </c>
      <c r="G107" s="163">
        <f>+BS!E28</f>
        <v>2.4738255888223648E-9</v>
      </c>
      <c r="H107" s="163">
        <f>+BS!F28</f>
        <v>2.7875685936659998E-9</v>
      </c>
      <c r="I107" s="163">
        <f>+BS!G28</f>
        <v>3.1411020645526229E-9</v>
      </c>
      <c r="J107" s="163">
        <f>+BS!H28</f>
        <v>0</v>
      </c>
    </row>
    <row r="108" spans="2:10" ht="15.75" thickBot="1" x14ac:dyDescent="0.3">
      <c r="B108" s="153"/>
      <c r="C108" s="153" t="s">
        <v>259</v>
      </c>
      <c r="D108" s="160"/>
      <c r="E108" s="160"/>
      <c r="F108" s="160"/>
      <c r="G108" s="160"/>
      <c r="H108" s="160"/>
      <c r="I108" s="161"/>
      <c r="J108" s="161"/>
    </row>
    <row r="109" spans="2:10" ht="15.75" thickBot="1" x14ac:dyDescent="0.3">
      <c r="B109" s="153"/>
      <c r="C109" s="153"/>
      <c r="D109" s="162"/>
      <c r="E109" s="162"/>
      <c r="F109" s="162"/>
      <c r="G109" s="162"/>
      <c r="H109" s="162"/>
      <c r="I109" s="107"/>
      <c r="J109" s="107"/>
    </row>
    <row r="110" spans="2:10" ht="15.75" thickBot="1" x14ac:dyDescent="0.3">
      <c r="B110" s="153"/>
      <c r="C110" s="153" t="s">
        <v>260</v>
      </c>
      <c r="D110" s="160"/>
      <c r="E110" s="160"/>
      <c r="F110" s="160"/>
      <c r="G110" s="160"/>
      <c r="H110" s="160"/>
      <c r="I110" s="161"/>
      <c r="J110" s="161"/>
    </row>
    <row r="111" spans="2:10" ht="15.75" thickBot="1" x14ac:dyDescent="0.3">
      <c r="B111" s="158"/>
      <c r="C111" s="158"/>
      <c r="D111" s="152"/>
      <c r="E111" s="152"/>
      <c r="F111" s="152"/>
      <c r="G111" s="152"/>
      <c r="H111" s="152"/>
      <c r="I111" s="102"/>
      <c r="J111" s="102"/>
    </row>
    <row r="112" spans="2:10" ht="15.75" thickBot="1" x14ac:dyDescent="0.3">
      <c r="B112" s="158"/>
      <c r="C112" s="158" t="s">
        <v>261</v>
      </c>
      <c r="D112" s="154">
        <f>+BS!B33</f>
        <v>1893603.8248310685</v>
      </c>
      <c r="E112" s="154">
        <f>+BS!C33</f>
        <v>1893603.8248310685</v>
      </c>
      <c r="F112" s="154">
        <f>+BS!D33</f>
        <v>1893603.8248310685</v>
      </c>
      <c r="G112" s="154">
        <f>+BS!E33</f>
        <v>1893603.8248310685</v>
      </c>
      <c r="H112" s="154">
        <f>+BS!F33</f>
        <v>1893603.8248310685</v>
      </c>
      <c r="I112" s="154">
        <f>+BS!G33</f>
        <v>1893603.8248310685</v>
      </c>
      <c r="J112" s="154">
        <f>+BS!H33</f>
        <v>1893603.8248310685</v>
      </c>
    </row>
    <row r="113" spans="2:10" ht="15.75" thickBot="1" x14ac:dyDescent="0.3">
      <c r="B113" s="158"/>
      <c r="C113" s="158" t="s">
        <v>948</v>
      </c>
      <c r="D113" s="154">
        <f>+BS!B34</f>
        <v>10093560</v>
      </c>
      <c r="E113" s="154">
        <f>+BS!C34</f>
        <v>10093560</v>
      </c>
      <c r="F113" s="154">
        <f>+BS!D34</f>
        <v>10093560</v>
      </c>
      <c r="G113" s="154">
        <f>+BS!E34</f>
        <v>10093560</v>
      </c>
      <c r="H113" s="154">
        <f>+BS!F34</f>
        <v>10093560</v>
      </c>
      <c r="I113" s="154">
        <f>+BS!G34</f>
        <v>10093560</v>
      </c>
      <c r="J113" s="154">
        <f>+BS!H34</f>
        <v>10093560</v>
      </c>
    </row>
    <row r="114" spans="2:10" ht="15.75" thickBot="1" x14ac:dyDescent="0.3">
      <c r="B114" s="153"/>
      <c r="C114" s="153" t="s">
        <v>262</v>
      </c>
      <c r="D114" s="152"/>
      <c r="E114" s="152"/>
      <c r="F114" s="152"/>
      <c r="G114" s="152"/>
      <c r="H114" s="152"/>
      <c r="I114" s="102"/>
      <c r="J114" s="102"/>
    </row>
    <row r="115" spans="2:10" ht="15.75" thickBot="1" x14ac:dyDescent="0.3">
      <c r="B115" s="158"/>
      <c r="C115" s="158" t="s">
        <v>263</v>
      </c>
      <c r="D115" s="154">
        <f>+BS!B36</f>
        <v>0</v>
      </c>
      <c r="E115" s="154">
        <f>+BS!C36</f>
        <v>2070130.1588142994</v>
      </c>
      <c r="F115" s="154">
        <f>+BS!D36</f>
        <v>3859763.6074903803</v>
      </c>
      <c r="G115" s="154">
        <f>+BS!E36</f>
        <v>6220820.5141336676</v>
      </c>
      <c r="H115" s="154">
        <f>+BS!F36</f>
        <v>9133011.3273805305</v>
      </c>
      <c r="I115" s="154">
        <f>+BS!G36</f>
        <v>12569085.735801999</v>
      </c>
      <c r="J115" s="154">
        <f>+BS!H36</f>
        <v>16550314.939932335</v>
      </c>
    </row>
    <row r="116" spans="2:10" ht="15.75" thickBot="1" x14ac:dyDescent="0.3">
      <c r="B116" s="158"/>
      <c r="C116" s="158" t="s">
        <v>264</v>
      </c>
      <c r="D116" s="154">
        <f>+BS!B37</f>
        <v>2070130.1588142994</v>
      </c>
      <c r="E116" s="154">
        <f>+BS!C37</f>
        <v>2307165.9883796563</v>
      </c>
      <c r="F116" s="154">
        <f>+BS!D37</f>
        <v>2937848.4037382016</v>
      </c>
      <c r="G116" s="154">
        <f>+BS!E37</f>
        <v>3646652.9141814122</v>
      </c>
      <c r="H116" s="154">
        <f>+BS!F37</f>
        <v>4347737.6369668208</v>
      </c>
      <c r="I116" s="154">
        <f>+BS!G37</f>
        <v>5068163.6133720418</v>
      </c>
      <c r="J116" s="154">
        <f>+BS!H37</f>
        <v>5778348.2425852418</v>
      </c>
    </row>
    <row r="117" spans="2:10" ht="15.75" thickBot="1" x14ac:dyDescent="0.3">
      <c r="B117" s="158"/>
      <c r="C117" s="158" t="s">
        <v>949</v>
      </c>
      <c r="D117" s="154">
        <f>+BS!B38</f>
        <v>0</v>
      </c>
      <c r="E117" s="154">
        <f>+BS!C38</f>
        <v>517532.53970357485</v>
      </c>
      <c r="F117" s="154">
        <f>+BS!D38</f>
        <v>576791.49709491408</v>
      </c>
      <c r="G117" s="154">
        <f>+BS!E38</f>
        <v>734462.1009345504</v>
      </c>
      <c r="H117" s="154">
        <f>+BS!F38</f>
        <v>911663.22854535305</v>
      </c>
      <c r="I117" s="154">
        <f>+BS!G38</f>
        <v>1086934.4092417052</v>
      </c>
      <c r="J117" s="154">
        <f>+BS!H38</f>
        <v>1267040.9033430105</v>
      </c>
    </row>
    <row r="118" spans="2:10" ht="15.75" thickBot="1" x14ac:dyDescent="0.3">
      <c r="B118" s="158"/>
      <c r="C118" s="158" t="s">
        <v>266</v>
      </c>
      <c r="D118" s="154">
        <f>+BS!B39</f>
        <v>2070130.1588142994</v>
      </c>
      <c r="E118" s="154">
        <f>+BS!C39</f>
        <v>3859763.6074903803</v>
      </c>
      <c r="F118" s="154">
        <f>+BS!D39</f>
        <v>6220820.5141336676</v>
      </c>
      <c r="G118" s="154">
        <f>+BS!E39</f>
        <v>9133011.3273805305</v>
      </c>
      <c r="H118" s="154">
        <f>+BS!F39</f>
        <v>12569085.735801999</v>
      </c>
      <c r="I118" s="154">
        <f>+BS!G39</f>
        <v>16550314.939932335</v>
      </c>
      <c r="J118" s="154">
        <f>+BS!H39</f>
        <v>21061622.279174566</v>
      </c>
    </row>
    <row r="119" spans="2:10" ht="15.75" thickBot="1" x14ac:dyDescent="0.3">
      <c r="B119" s="158"/>
      <c r="C119" s="158"/>
      <c r="D119" s="152"/>
      <c r="E119" s="152"/>
      <c r="F119" s="152"/>
      <c r="G119" s="152"/>
      <c r="H119" s="152"/>
      <c r="I119" s="102"/>
      <c r="J119" s="102"/>
    </row>
    <row r="120" spans="2:10" ht="15.75" thickBot="1" x14ac:dyDescent="0.3">
      <c r="B120" s="153"/>
      <c r="C120" s="153" t="s">
        <v>267</v>
      </c>
      <c r="D120" s="159">
        <f>+BS!B41</f>
        <v>14057293.983645368</v>
      </c>
      <c r="E120" s="159">
        <f>+BS!C41</f>
        <v>15846927.432321448</v>
      </c>
      <c r="F120" s="159">
        <f>+BS!D41</f>
        <v>18207984.338964738</v>
      </c>
      <c r="G120" s="159">
        <f>+BS!E41</f>
        <v>21120175.152211599</v>
      </c>
      <c r="H120" s="159">
        <f>+BS!F41</f>
        <v>24556249.560633067</v>
      </c>
      <c r="I120" s="159">
        <f>+BS!G41</f>
        <v>28537478.764763404</v>
      </c>
      <c r="J120" s="159">
        <f>+BS!H41</f>
        <v>33048786.104005635</v>
      </c>
    </row>
    <row r="121" spans="2:10" ht="15.75" thickBot="1" x14ac:dyDescent="0.3">
      <c r="B121" s="158"/>
      <c r="C121" s="158"/>
      <c r="D121" s="152"/>
      <c r="E121" s="152"/>
      <c r="F121" s="152"/>
      <c r="G121" s="152"/>
      <c r="H121" s="152"/>
      <c r="I121" s="102"/>
      <c r="J121" s="102"/>
    </row>
    <row r="122" spans="2:10" ht="15.75" thickBot="1" x14ac:dyDescent="0.3">
      <c r="B122" s="153"/>
      <c r="C122" s="153" t="s">
        <v>268</v>
      </c>
      <c r="D122" s="159">
        <f>+BS!B43</f>
        <v>20873669.73246903</v>
      </c>
      <c r="E122" s="159">
        <f>+BS!C43</f>
        <v>21602350.104576051</v>
      </c>
      <c r="F122" s="159">
        <f>+BS!D43</f>
        <v>22436504.310003936</v>
      </c>
      <c r="G122" s="159">
        <f>+BS!E43</f>
        <v>23616516.338863242</v>
      </c>
      <c r="H122" s="159">
        <f>+BS!F43</f>
        <v>27341613.770283643</v>
      </c>
      <c r="I122" s="159">
        <f>+BS!G43</f>
        <v>31633478.595142376</v>
      </c>
      <c r="J122" s="159">
        <f>+BS!H43</f>
        <v>36479501.746294811</v>
      </c>
    </row>
    <row r="123" spans="2:10" x14ac:dyDescent="0.25">
      <c r="D123" s="343">
        <f>+D122-D99</f>
        <v>1755788.0747952238</v>
      </c>
      <c r="E123" s="343">
        <f t="shared" ref="E123:J123" si="17">+E122-E99</f>
        <v>1980502.4943225235</v>
      </c>
      <c r="F123" s="343">
        <f t="shared" si="17"/>
        <v>2228508.4595232978</v>
      </c>
      <c r="G123" s="343">
        <f t="shared" si="17"/>
        <v>2496341.1866516396</v>
      </c>
      <c r="H123" s="343">
        <f t="shared" si="17"/>
        <v>2785364.2096505687</v>
      </c>
      <c r="I123" s="343">
        <f t="shared" si="17"/>
        <v>3095999.8303789683</v>
      </c>
      <c r="J123" s="343">
        <f t="shared" si="17"/>
        <v>3430715.6422891617</v>
      </c>
    </row>
    <row r="128" spans="2:10" x14ac:dyDescent="0.25">
      <c r="B128" s="108" t="s">
        <v>950</v>
      </c>
    </row>
    <row r="129" spans="2:6" x14ac:dyDescent="0.25">
      <c r="B129" s="108"/>
    </row>
    <row r="130" spans="2:6" x14ac:dyDescent="0.25">
      <c r="B130" s="327" t="s">
        <v>1263</v>
      </c>
      <c r="F130" s="344">
        <f>+'Cost MOF'!D29</f>
        <v>0.20693225286169309</v>
      </c>
    </row>
    <row r="131" spans="2:6" x14ac:dyDescent="0.25">
      <c r="B131" s="327" t="s">
        <v>1264</v>
      </c>
      <c r="F131" s="343">
        <f>+'Cost MOF'!D31</f>
        <v>691986.57697851583</v>
      </c>
    </row>
    <row r="132" spans="2:6" x14ac:dyDescent="0.25">
      <c r="B132" s="327" t="s">
        <v>1265</v>
      </c>
      <c r="F132" s="344">
        <f>+'Cost MOF'!D30</f>
        <v>0.1102984383770047</v>
      </c>
    </row>
    <row r="133" spans="2:6" x14ac:dyDescent="0.25">
      <c r="B133" s="327" t="s">
        <v>1266</v>
      </c>
      <c r="F133" s="345">
        <f>+'Cost MOF'!D32</f>
        <v>4.5493351491076739</v>
      </c>
    </row>
    <row r="134" spans="2:6" x14ac:dyDescent="0.25">
      <c r="B134" s="327" t="s">
        <v>1267</v>
      </c>
      <c r="F134" s="344">
        <f>+'Cost MOF'!D28</f>
        <v>0.44535360387929851</v>
      </c>
    </row>
    <row r="135" spans="2:6" x14ac:dyDescent="0.25">
      <c r="B135" s="327" t="s">
        <v>1268</v>
      </c>
      <c r="F135" s="345">
        <f>+'Cost MOF'!D33</f>
        <v>2.5953713086070573</v>
      </c>
    </row>
    <row r="136" spans="2:6" x14ac:dyDescent="0.25">
      <c r="B136" s="327" t="s">
        <v>1269</v>
      </c>
      <c r="F136" s="346">
        <v>0.05</v>
      </c>
    </row>
  </sheetData>
  <mergeCells count="2">
    <mergeCell ref="B47:C47"/>
    <mergeCell ref="B57:C57"/>
  </mergeCells>
  <pageMargins left="0.17" right="0.17" top="0.21" bottom="0.21" header="0.17" footer="0.17"/>
  <pageSetup paperSize="9" scale="90" orientation="landscape"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2"/>
  <sheetViews>
    <sheetView zoomScale="10" zoomScaleNormal="10" workbookViewId="0">
      <selection activeCell="AM54" sqref="AM54"/>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1262</v>
      </c>
    </row>
    <row r="14" spans="2:4" thickBot="1" x14ac:dyDescent="0.4">
      <c r="B14" s="99" t="s">
        <v>383</v>
      </c>
      <c r="C14" s="100" t="s">
        <v>0</v>
      </c>
      <c r="D14" s="100" t="s">
        <v>791</v>
      </c>
    </row>
    <row r="15" spans="2:4" thickBot="1" x14ac:dyDescent="0.4">
      <c r="B15" s="101">
        <v>1</v>
      </c>
      <c r="C15" s="102" t="s">
        <v>959</v>
      </c>
      <c r="D15" s="102" t="s">
        <v>1220</v>
      </c>
    </row>
    <row r="16" spans="2:4" x14ac:dyDescent="0.25">
      <c r="B16" s="725">
        <v>2</v>
      </c>
      <c r="C16" s="645" t="s">
        <v>960</v>
      </c>
      <c r="D16" s="645" t="s">
        <v>1221</v>
      </c>
    </row>
    <row r="17" spans="2:6" ht="15.75" thickBot="1" x14ac:dyDescent="0.3">
      <c r="B17" s="726"/>
      <c r="C17" s="647"/>
      <c r="D17" s="647"/>
    </row>
    <row r="18" spans="2:6" thickBot="1" x14ac:dyDescent="0.4">
      <c r="B18" s="101" t="s">
        <v>961</v>
      </c>
      <c r="C18" s="102" t="s">
        <v>962</v>
      </c>
      <c r="D18" s="102" t="s">
        <v>1222</v>
      </c>
    </row>
    <row r="19" spans="2:6" x14ac:dyDescent="0.25">
      <c r="B19" s="725">
        <v>4</v>
      </c>
      <c r="C19" s="645" t="s">
        <v>963</v>
      </c>
      <c r="D19" s="645" t="s">
        <v>1079</v>
      </c>
    </row>
    <row r="20" spans="2:6" ht="15.75" thickBot="1" x14ac:dyDescent="0.3">
      <c r="B20" s="726"/>
      <c r="C20" s="647"/>
      <c r="D20" s="647"/>
    </row>
    <row r="21" spans="2:6" ht="30.75" thickBot="1" x14ac:dyDescent="0.3">
      <c r="B21" s="101">
        <v>5</v>
      </c>
      <c r="C21" s="102" t="s">
        <v>964</v>
      </c>
      <c r="D21" s="102">
        <v>0</v>
      </c>
    </row>
    <row r="22" spans="2:6" x14ac:dyDescent="0.25">
      <c r="B22" s="725">
        <v>6</v>
      </c>
      <c r="C22" s="645" t="s">
        <v>1089</v>
      </c>
      <c r="D22" s="645">
        <v>0</v>
      </c>
    </row>
    <row r="23" spans="2:6" ht="15.75" thickBot="1" x14ac:dyDescent="0.3">
      <c r="B23" s="726"/>
      <c r="C23" s="647"/>
      <c r="D23" s="647"/>
    </row>
    <row r="24" spans="2:6" ht="29.1" x14ac:dyDescent="0.35">
      <c r="B24" s="115">
        <v>7</v>
      </c>
      <c r="C24" s="116" t="s">
        <v>967</v>
      </c>
      <c r="D24" s="116" t="s">
        <v>1061</v>
      </c>
    </row>
    <row r="25" spans="2:6" ht="14.45" x14ac:dyDescent="0.35">
      <c r="B25" s="333">
        <v>8</v>
      </c>
      <c r="C25" s="119" t="s">
        <v>1216</v>
      </c>
      <c r="D25" s="312" t="s">
        <v>1217</v>
      </c>
      <c r="E25" s="334" t="s">
        <v>1218</v>
      </c>
      <c r="F25" s="334" t="s">
        <v>1219</v>
      </c>
    </row>
    <row r="26" spans="2:6" ht="14.45" x14ac:dyDescent="0.35">
      <c r="B26" s="318"/>
      <c r="C26" s="324"/>
      <c r="D26" s="331">
        <f>+Grain!B47</f>
        <v>0.6</v>
      </c>
      <c r="E26" s="331">
        <f>+Grain!C47</f>
        <v>0.65</v>
      </c>
      <c r="F26" s="331">
        <f>+Grain!D47</f>
        <v>0.70000000000000007</v>
      </c>
    </row>
    <row r="27" spans="2:6" ht="14.45" x14ac:dyDescent="0.35">
      <c r="B27" s="335"/>
      <c r="C27" s="335"/>
      <c r="D27" s="336"/>
      <c r="E27" s="336"/>
      <c r="F27" s="336"/>
    </row>
    <row r="28" spans="2:6" ht="15.75" thickBot="1" x14ac:dyDescent="0.3">
      <c r="B28" s="327" t="s">
        <v>1256</v>
      </c>
    </row>
    <row r="29" spans="2:6" ht="45.75" thickBot="1" x14ac:dyDescent="0.3">
      <c r="B29" s="103" t="s">
        <v>383</v>
      </c>
      <c r="C29" s="104" t="s">
        <v>968</v>
      </c>
      <c r="D29" s="104" t="s">
        <v>1080</v>
      </c>
      <c r="E29" s="104" t="s">
        <v>1209</v>
      </c>
      <c r="F29" s="104" t="s">
        <v>970</v>
      </c>
    </row>
    <row r="30" spans="2:6" thickBot="1" x14ac:dyDescent="0.4">
      <c r="B30" s="105">
        <v>1</v>
      </c>
      <c r="C30" s="102" t="s">
        <v>1063</v>
      </c>
      <c r="D30" s="118">
        <f>+Grain!B55+Grain!B67</f>
        <v>7702.8019200000017</v>
      </c>
      <c r="E30" s="102">
        <f>+'F1'!C184</f>
        <v>3500</v>
      </c>
      <c r="F30" s="102" t="s">
        <v>1066</v>
      </c>
    </row>
    <row r="31" spans="2:6" thickBot="1" x14ac:dyDescent="0.4">
      <c r="B31" s="105"/>
      <c r="C31" s="102"/>
      <c r="D31" s="102"/>
      <c r="E31" s="102"/>
      <c r="F31" s="102"/>
    </row>
    <row r="36" spans="2:6" ht="15.75" thickBot="1" x14ac:dyDescent="0.3">
      <c r="B36" s="327" t="s">
        <v>1257</v>
      </c>
    </row>
    <row r="37" spans="2:6" x14ac:dyDescent="0.25">
      <c r="B37" s="659" t="s">
        <v>383</v>
      </c>
      <c r="C37" s="659" t="s">
        <v>464</v>
      </c>
      <c r="D37" s="659" t="s">
        <v>972</v>
      </c>
      <c r="E37" s="659" t="s">
        <v>593</v>
      </c>
    </row>
    <row r="38" spans="2:6" ht="15.75" thickBot="1" x14ac:dyDescent="0.3">
      <c r="B38" s="661"/>
      <c r="C38" s="661"/>
      <c r="D38" s="661"/>
      <c r="E38" s="661"/>
    </row>
    <row r="39" spans="2:6" thickBot="1" x14ac:dyDescent="0.4">
      <c r="B39" s="101">
        <v>1</v>
      </c>
      <c r="C39" s="102" t="s">
        <v>1081</v>
      </c>
      <c r="D39" s="102">
        <f>+'F2'!C185</f>
        <v>3500</v>
      </c>
      <c r="E39" s="102"/>
    </row>
    <row r="40" spans="2:6" thickBot="1" x14ac:dyDescent="0.4">
      <c r="B40" s="101">
        <v>2</v>
      </c>
      <c r="C40" s="102"/>
      <c r="D40" s="102"/>
      <c r="E40" s="102"/>
    </row>
    <row r="41" spans="2:6" thickBot="1" x14ac:dyDescent="0.4">
      <c r="B41" s="101">
        <v>3</v>
      </c>
      <c r="C41" s="102"/>
      <c r="D41" s="102"/>
      <c r="E41" s="102"/>
    </row>
    <row r="42" spans="2:6" thickBot="1" x14ac:dyDescent="0.4">
      <c r="B42" s="101">
        <v>4</v>
      </c>
      <c r="C42" s="102"/>
      <c r="D42" s="102"/>
      <c r="E42" s="102"/>
    </row>
    <row r="45" spans="2:6" ht="15.75" thickBot="1" x14ac:dyDescent="0.3">
      <c r="B45" s="327" t="s">
        <v>1258</v>
      </c>
    </row>
    <row r="46" spans="2:6" ht="29.25" customHeight="1" x14ac:dyDescent="0.25">
      <c r="B46" s="659" t="s">
        <v>383</v>
      </c>
      <c r="C46" s="659" t="s">
        <v>973</v>
      </c>
      <c r="D46" s="659" t="s">
        <v>974</v>
      </c>
      <c r="E46" s="659" t="s">
        <v>975</v>
      </c>
      <c r="F46" s="659" t="s">
        <v>593</v>
      </c>
    </row>
    <row r="47" spans="2:6" ht="15.75" thickBot="1" x14ac:dyDescent="0.3">
      <c r="B47" s="661"/>
      <c r="C47" s="661"/>
      <c r="D47" s="661"/>
      <c r="E47" s="661"/>
      <c r="F47" s="661"/>
    </row>
    <row r="48" spans="2:6" thickBot="1" x14ac:dyDescent="0.4">
      <c r="B48" s="101">
        <v>1</v>
      </c>
      <c r="C48" s="102"/>
      <c r="D48" s="102"/>
      <c r="E48" s="102"/>
      <c r="F48" s="102"/>
    </row>
    <row r="49" spans="2:6" thickBot="1" x14ac:dyDescent="0.4">
      <c r="B49" s="101"/>
      <c r="C49" s="102"/>
      <c r="D49" s="102"/>
      <c r="E49" s="102"/>
      <c r="F49" s="102"/>
    </row>
    <row r="50" spans="2:6" ht="14.45" x14ac:dyDescent="0.35">
      <c r="C50" s="192" t="s">
        <v>1086</v>
      </c>
    </row>
    <row r="53" spans="2:6" thickBot="1" x14ac:dyDescent="0.4">
      <c r="B53" s="108" t="s">
        <v>976</v>
      </c>
    </row>
    <row r="54" spans="2:6" ht="30.75" thickBot="1" x14ac:dyDescent="0.3">
      <c r="B54" s="99" t="s">
        <v>383</v>
      </c>
      <c r="C54" s="100" t="s">
        <v>977</v>
      </c>
      <c r="D54" s="100" t="s">
        <v>383</v>
      </c>
      <c r="E54" s="100" t="s">
        <v>978</v>
      </c>
      <c r="F54" s="100" t="s">
        <v>979</v>
      </c>
    </row>
    <row r="55" spans="2:6" thickBot="1" x14ac:dyDescent="0.4">
      <c r="B55" s="101">
        <v>1</v>
      </c>
      <c r="C55" s="102" t="s">
        <v>980</v>
      </c>
      <c r="D55" s="102">
        <v>0</v>
      </c>
      <c r="E55" s="102">
        <v>0</v>
      </c>
      <c r="F55" s="106" t="s">
        <v>1070</v>
      </c>
    </row>
    <row r="56" spans="2:6" thickBot="1" x14ac:dyDescent="0.4">
      <c r="B56" s="101">
        <v>2</v>
      </c>
      <c r="C56" s="102" t="s">
        <v>981</v>
      </c>
      <c r="D56" s="102"/>
      <c r="E56" s="102"/>
      <c r="F56" s="106" t="s">
        <v>1070</v>
      </c>
    </row>
    <row r="57" spans="2:6" thickBot="1" x14ac:dyDescent="0.4">
      <c r="B57" s="101">
        <v>3</v>
      </c>
      <c r="C57" s="102" t="s">
        <v>982</v>
      </c>
      <c r="D57" s="102">
        <v>0</v>
      </c>
      <c r="E57" s="102">
        <v>0</v>
      </c>
      <c r="F57" s="106" t="s">
        <v>1070</v>
      </c>
    </row>
    <row r="60" spans="2:6" thickBot="1" x14ac:dyDescent="0.4">
      <c r="B60" s="108" t="s">
        <v>983</v>
      </c>
    </row>
    <row r="61" spans="2:6" ht="29.45" thickBot="1" x14ac:dyDescent="0.4">
      <c r="B61" s="99" t="s">
        <v>822</v>
      </c>
      <c r="C61" s="100" t="s">
        <v>868</v>
      </c>
      <c r="D61" s="100" t="s">
        <v>984</v>
      </c>
      <c r="E61" s="100" t="s">
        <v>593</v>
      </c>
    </row>
    <row r="62" spans="2:6" thickBot="1" x14ac:dyDescent="0.4">
      <c r="B62" s="101">
        <v>1</v>
      </c>
      <c r="C62" s="102" t="s">
        <v>985</v>
      </c>
      <c r="D62" s="102"/>
      <c r="E62" s="102" t="s">
        <v>1070</v>
      </c>
    </row>
    <row r="63" spans="2:6" thickBot="1" x14ac:dyDescent="0.4">
      <c r="B63" s="101">
        <v>2</v>
      </c>
      <c r="C63" s="102" t="s">
        <v>838</v>
      </c>
      <c r="D63" s="102"/>
      <c r="E63" s="102" t="s">
        <v>1070</v>
      </c>
    </row>
    <row r="64" spans="2:6" ht="14.45" x14ac:dyDescent="0.35">
      <c r="C64" s="192" t="s">
        <v>1085</v>
      </c>
    </row>
    <row r="70" spans="2:6" thickBot="1" x14ac:dyDescent="0.4">
      <c r="B70" s="108" t="s">
        <v>986</v>
      </c>
    </row>
    <row r="71" spans="2:6" x14ac:dyDescent="0.25">
      <c r="B71" s="659" t="s">
        <v>822</v>
      </c>
      <c r="C71" s="659" t="s">
        <v>987</v>
      </c>
      <c r="D71" s="659" t="s">
        <v>988</v>
      </c>
      <c r="E71" s="659" t="s">
        <v>989</v>
      </c>
      <c r="F71" s="659" t="s">
        <v>593</v>
      </c>
    </row>
    <row r="72" spans="2:6" ht="15.75" thickBot="1" x14ac:dyDescent="0.3">
      <c r="B72" s="661"/>
      <c r="C72" s="661"/>
      <c r="D72" s="661"/>
      <c r="E72" s="661"/>
      <c r="F72" s="661"/>
    </row>
    <row r="73" spans="2:6" thickBot="1" x14ac:dyDescent="0.4">
      <c r="B73" s="105">
        <v>1</v>
      </c>
      <c r="C73" s="107">
        <v>0</v>
      </c>
      <c r="D73" s="107">
        <v>0</v>
      </c>
      <c r="E73" s="102">
        <f>+'F2'!C191</f>
        <v>8</v>
      </c>
      <c r="F73" s="102" t="s">
        <v>1073</v>
      </c>
    </row>
    <row r="76" spans="2:6" thickBot="1" x14ac:dyDescent="0.4">
      <c r="B76" s="108" t="s">
        <v>991</v>
      </c>
    </row>
    <row r="77" spans="2:6" thickBot="1" x14ac:dyDescent="0.4">
      <c r="B77" s="99" t="s">
        <v>822</v>
      </c>
      <c r="C77" s="100" t="s">
        <v>868</v>
      </c>
      <c r="D77" s="100" t="s">
        <v>992</v>
      </c>
      <c r="E77" s="100" t="s">
        <v>979</v>
      </c>
    </row>
    <row r="78" spans="2:6" ht="29.45" thickBot="1" x14ac:dyDescent="0.4">
      <c r="B78" s="101">
        <v>1</v>
      </c>
      <c r="C78" s="102" t="s">
        <v>993</v>
      </c>
      <c r="D78" s="102" t="s">
        <v>1075</v>
      </c>
      <c r="E78" s="102" t="s">
        <v>17</v>
      </c>
    </row>
    <row r="81" spans="2:7" thickBot="1" x14ac:dyDescent="0.4">
      <c r="B81" s="108" t="s">
        <v>994</v>
      </c>
    </row>
    <row r="82" spans="2:7" x14ac:dyDescent="0.25">
      <c r="B82" s="659" t="s">
        <v>383</v>
      </c>
      <c r="C82" s="659" t="s">
        <v>995</v>
      </c>
      <c r="D82" s="659" t="s">
        <v>130</v>
      </c>
      <c r="E82" s="659" t="s">
        <v>831</v>
      </c>
      <c r="F82" s="659" t="s">
        <v>996</v>
      </c>
      <c r="G82" s="659" t="s">
        <v>593</v>
      </c>
    </row>
    <row r="83" spans="2:7" ht="15.75" thickBot="1" x14ac:dyDescent="0.3">
      <c r="B83" s="661"/>
      <c r="C83" s="661"/>
      <c r="D83" s="661"/>
      <c r="E83" s="661"/>
      <c r="F83" s="661"/>
      <c r="G83" s="661"/>
    </row>
    <row r="84" spans="2:7" thickBot="1" x14ac:dyDescent="0.4">
      <c r="B84" s="101">
        <v>1</v>
      </c>
      <c r="C84" s="102"/>
      <c r="D84" s="102"/>
      <c r="E84" s="102"/>
      <c r="F84" s="102"/>
      <c r="G84" s="102"/>
    </row>
    <row r="85" spans="2:7" thickBot="1" x14ac:dyDescent="0.4">
      <c r="B85" s="101">
        <v>2</v>
      </c>
      <c r="C85" s="102" t="s">
        <v>1074</v>
      </c>
      <c r="D85" s="102"/>
      <c r="E85" s="102"/>
      <c r="F85" s="102"/>
      <c r="G85" s="102"/>
    </row>
    <row r="86" spans="2:7" thickBot="1" x14ac:dyDescent="0.4">
      <c r="B86" s="101">
        <v>3</v>
      </c>
      <c r="C86" s="102"/>
      <c r="D86" s="102"/>
      <c r="E86" s="102"/>
      <c r="F86" s="102"/>
      <c r="G86" s="102"/>
    </row>
    <row r="87" spans="2:7" thickBot="1" x14ac:dyDescent="0.4">
      <c r="B87" s="101"/>
      <c r="C87" s="102"/>
      <c r="D87" s="102"/>
      <c r="E87" s="102"/>
      <c r="F87" s="102"/>
      <c r="G87" s="102"/>
    </row>
    <row r="88" spans="2:7" ht="14.45" x14ac:dyDescent="0.35">
      <c r="B88" s="192" t="s">
        <v>997</v>
      </c>
    </row>
    <row r="106" spans="2:8" ht="15.75" thickBot="1" x14ac:dyDescent="0.3">
      <c r="B106" s="108" t="s">
        <v>1259</v>
      </c>
    </row>
    <row r="107" spans="2:8" x14ac:dyDescent="0.25">
      <c r="B107" s="659" t="s">
        <v>383</v>
      </c>
      <c r="C107" s="659" t="s">
        <v>998</v>
      </c>
      <c r="D107" s="659" t="s">
        <v>1223</v>
      </c>
      <c r="E107" s="659" t="s">
        <v>130</v>
      </c>
      <c r="F107" s="659" t="s">
        <v>1225</v>
      </c>
      <c r="G107" s="659" t="s">
        <v>1000</v>
      </c>
      <c r="H107" s="659" t="s">
        <v>593</v>
      </c>
    </row>
    <row r="108" spans="2:8" ht="15.75" thickBot="1" x14ac:dyDescent="0.3">
      <c r="B108" s="661"/>
      <c r="C108" s="661"/>
      <c r="D108" s="661"/>
      <c r="E108" s="661"/>
      <c r="F108" s="661"/>
      <c r="G108" s="661"/>
      <c r="H108" s="661"/>
    </row>
    <row r="109" spans="2:8" thickBot="1" x14ac:dyDescent="0.4">
      <c r="B109" s="105">
        <v>1</v>
      </c>
      <c r="C109" s="102" t="s">
        <v>1081</v>
      </c>
      <c r="D109" s="102">
        <v>50</v>
      </c>
      <c r="E109" s="102" t="s">
        <v>1082</v>
      </c>
      <c r="F109" s="109">
        <f>+D30</f>
        <v>7702.8019200000017</v>
      </c>
      <c r="G109" s="102">
        <v>30</v>
      </c>
      <c r="H109" s="102"/>
    </row>
    <row r="111" spans="2:8" ht="14.45" x14ac:dyDescent="0.35">
      <c r="F111" s="322"/>
    </row>
    <row r="112" spans="2:8" thickBot="1" x14ac:dyDescent="0.4">
      <c r="B112" s="108" t="s">
        <v>1001</v>
      </c>
    </row>
    <row r="113" spans="2:6" ht="29.25" customHeight="1" x14ac:dyDescent="0.25">
      <c r="B113" s="659" t="s">
        <v>383</v>
      </c>
      <c r="C113" s="723" t="s">
        <v>1002</v>
      </c>
      <c r="D113" s="723" t="s">
        <v>1003</v>
      </c>
      <c r="E113" s="723" t="s">
        <v>1004</v>
      </c>
      <c r="F113" s="723" t="s">
        <v>1005</v>
      </c>
    </row>
    <row r="114" spans="2:6" ht="15.75" thickBot="1" x14ac:dyDescent="0.3">
      <c r="B114" s="661"/>
      <c r="C114" s="724"/>
      <c r="D114" s="724"/>
      <c r="E114" s="724"/>
      <c r="F114" s="724"/>
    </row>
    <row r="115" spans="2:6" thickBot="1" x14ac:dyDescent="0.4">
      <c r="B115" s="110">
        <v>1</v>
      </c>
      <c r="C115" s="102"/>
      <c r="D115" s="102"/>
      <c r="E115" s="102"/>
      <c r="F115" s="102" t="s">
        <v>1070</v>
      </c>
    </row>
    <row r="116" spans="2:6" thickBot="1" x14ac:dyDescent="0.4">
      <c r="B116" s="105">
        <v>2</v>
      </c>
      <c r="C116" s="102"/>
      <c r="D116" s="102"/>
      <c r="E116" s="102"/>
      <c r="F116" s="102" t="s">
        <v>1070</v>
      </c>
    </row>
    <row r="119" spans="2:6" thickBot="1" x14ac:dyDescent="0.4">
      <c r="B119" s="108" t="s">
        <v>1006</v>
      </c>
    </row>
    <row r="120" spans="2:6" thickBot="1" x14ac:dyDescent="0.4">
      <c r="B120" s="99" t="s">
        <v>383</v>
      </c>
      <c r="C120" s="100" t="s">
        <v>868</v>
      </c>
      <c r="D120" s="100" t="s">
        <v>1007</v>
      </c>
      <c r="E120" s="100" t="s">
        <v>1005</v>
      </c>
    </row>
    <row r="121" spans="2:6" thickBot="1" x14ac:dyDescent="0.4">
      <c r="B121" s="110">
        <v>1</v>
      </c>
      <c r="C121" s="111"/>
      <c r="D121" s="112"/>
      <c r="E121" s="106"/>
    </row>
    <row r="122" spans="2:6" thickBot="1" x14ac:dyDescent="0.4">
      <c r="B122" s="110">
        <v>2</v>
      </c>
      <c r="C122" s="111"/>
      <c r="D122" s="112"/>
      <c r="E122" s="106"/>
    </row>
  </sheetData>
  <mergeCells count="41">
    <mergeCell ref="B16:B17"/>
    <mergeCell ref="C16:C17"/>
    <mergeCell ref="D16:D17"/>
    <mergeCell ref="B19:B20"/>
    <mergeCell ref="C19:C20"/>
    <mergeCell ref="D19:D20"/>
    <mergeCell ref="F46:F47"/>
    <mergeCell ref="B22:B23"/>
    <mergeCell ref="C22:C23"/>
    <mergeCell ref="D22:D23"/>
    <mergeCell ref="B37:B38"/>
    <mergeCell ref="C37:C38"/>
    <mergeCell ref="D37:D38"/>
    <mergeCell ref="E37:E38"/>
    <mergeCell ref="B46:B47"/>
    <mergeCell ref="C46:C47"/>
    <mergeCell ref="D46:D47"/>
    <mergeCell ref="E46:E47"/>
    <mergeCell ref="B71:B72"/>
    <mergeCell ref="C71:C72"/>
    <mergeCell ref="D71:D72"/>
    <mergeCell ref="E71:E72"/>
    <mergeCell ref="F71:F72"/>
    <mergeCell ref="G82:G83"/>
    <mergeCell ref="B107:B108"/>
    <mergeCell ref="C107:C108"/>
    <mergeCell ref="D107:D108"/>
    <mergeCell ref="E107:E108"/>
    <mergeCell ref="F107:F108"/>
    <mergeCell ref="G107:G108"/>
    <mergeCell ref="B82:B83"/>
    <mergeCell ref="C82:C83"/>
    <mergeCell ref="D82:D83"/>
    <mergeCell ref="E82:E83"/>
    <mergeCell ref="F82:F83"/>
    <mergeCell ref="H107:H108"/>
    <mergeCell ref="B113:B114"/>
    <mergeCell ref="C113:C114"/>
    <mergeCell ref="D113:D114"/>
    <mergeCell ref="E113:E114"/>
    <mergeCell ref="F113:F114"/>
  </mergeCells>
  <pageMargins left="0.32" right="0.21" top="0.22" bottom="0.24" header="0.17" footer="0.17"/>
  <pageSetup paperSize="9" orientation="landscape"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2"/>
  <sheetViews>
    <sheetView topLeftCell="A10" zoomScale="115" zoomScaleNormal="115" workbookViewId="0">
      <selection activeCell="C8" sqref="C8"/>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1261</v>
      </c>
    </row>
    <row r="14" spans="2:4" thickBot="1" x14ac:dyDescent="0.4">
      <c r="B14" s="99" t="s">
        <v>383</v>
      </c>
      <c r="C14" s="100" t="s">
        <v>0</v>
      </c>
      <c r="D14" s="100" t="s">
        <v>791</v>
      </c>
    </row>
    <row r="15" spans="2:4" thickBot="1" x14ac:dyDescent="0.4">
      <c r="B15" s="101">
        <v>1</v>
      </c>
      <c r="C15" s="102" t="s">
        <v>959</v>
      </c>
      <c r="D15" s="102" t="s">
        <v>1076</v>
      </c>
    </row>
    <row r="16" spans="2:4" x14ac:dyDescent="0.25">
      <c r="B16" s="725">
        <v>2</v>
      </c>
      <c r="C16" s="645" t="s">
        <v>960</v>
      </c>
      <c r="D16" s="645" t="s">
        <v>1077</v>
      </c>
    </row>
    <row r="17" spans="2:6" ht="15.75" thickBot="1" x14ac:dyDescent="0.3">
      <c r="B17" s="726"/>
      <c r="C17" s="647"/>
      <c r="D17" s="647"/>
    </row>
    <row r="18" spans="2:6" thickBot="1" x14ac:dyDescent="0.4">
      <c r="B18" s="101" t="s">
        <v>961</v>
      </c>
      <c r="C18" s="102" t="s">
        <v>962</v>
      </c>
      <c r="D18" s="102" t="s">
        <v>1078</v>
      </c>
    </row>
    <row r="19" spans="2:6" x14ac:dyDescent="0.25">
      <c r="B19" s="725">
        <v>4</v>
      </c>
      <c r="C19" s="645" t="s">
        <v>963</v>
      </c>
      <c r="D19" s="645" t="s">
        <v>1079</v>
      </c>
    </row>
    <row r="20" spans="2:6" ht="15.75" thickBot="1" x14ac:dyDescent="0.3">
      <c r="B20" s="726"/>
      <c r="C20" s="647"/>
      <c r="D20" s="647"/>
    </row>
    <row r="21" spans="2:6" ht="30.75" thickBot="1" x14ac:dyDescent="0.3">
      <c r="B21" s="101">
        <v>5</v>
      </c>
      <c r="C21" s="102" t="s">
        <v>964</v>
      </c>
      <c r="D21" s="102">
        <f>+Capex!G55/100000</f>
        <v>0</v>
      </c>
    </row>
    <row r="22" spans="2:6" x14ac:dyDescent="0.25">
      <c r="B22" s="725">
        <v>6</v>
      </c>
      <c r="C22" s="645" t="s">
        <v>1089</v>
      </c>
      <c r="D22" s="645">
        <f>+Capex!G7/100000</f>
        <v>0</v>
      </c>
    </row>
    <row r="23" spans="2:6" ht="15.75" thickBot="1" x14ac:dyDescent="0.3">
      <c r="B23" s="726"/>
      <c r="C23" s="647"/>
      <c r="D23" s="647"/>
    </row>
    <row r="24" spans="2:6" ht="29.1" x14ac:dyDescent="0.35">
      <c r="B24" s="115">
        <v>7</v>
      </c>
      <c r="C24" s="116" t="s">
        <v>967</v>
      </c>
      <c r="D24" s="116" t="s">
        <v>1061</v>
      </c>
    </row>
    <row r="25" spans="2:6" ht="14.45" x14ac:dyDescent="0.35">
      <c r="B25" s="328">
        <v>8</v>
      </c>
      <c r="C25" s="117" t="s">
        <v>1216</v>
      </c>
      <c r="D25" s="329" t="s">
        <v>1217</v>
      </c>
      <c r="E25" s="330" t="s">
        <v>1218</v>
      </c>
      <c r="F25" s="330" t="s">
        <v>1219</v>
      </c>
    </row>
    <row r="26" spans="2:6" ht="14.45" x14ac:dyDescent="0.35">
      <c r="B26" s="318"/>
      <c r="C26" s="324"/>
      <c r="D26" s="331">
        <f>+Grain!B72</f>
        <v>0.03</v>
      </c>
      <c r="E26" s="332">
        <f>+Grain!C72</f>
        <v>3.2000000000000001E-2</v>
      </c>
      <c r="F26" s="332">
        <f>+Grain!D72</f>
        <v>3.4000000000000002E-2</v>
      </c>
    </row>
    <row r="27" spans="2:6" ht="15.75" thickBot="1" x14ac:dyDescent="0.3">
      <c r="B27" s="327" t="s">
        <v>1256</v>
      </c>
    </row>
    <row r="28" spans="2:6" ht="45.75" thickBot="1" x14ac:dyDescent="0.3">
      <c r="B28" s="103" t="s">
        <v>383</v>
      </c>
      <c r="C28" s="104" t="s">
        <v>968</v>
      </c>
      <c r="D28" s="104" t="s">
        <v>1080</v>
      </c>
      <c r="E28" s="104" t="s">
        <v>1209</v>
      </c>
      <c r="F28" s="104" t="s">
        <v>970</v>
      </c>
    </row>
    <row r="29" spans="2:6" thickBot="1" x14ac:dyDescent="0.4">
      <c r="B29" s="105">
        <v>1</v>
      </c>
      <c r="C29" s="102" t="s">
        <v>1063</v>
      </c>
      <c r="D29" s="118">
        <f>+'F2'!D172/'F2'!C172</f>
        <v>40439.710080000012</v>
      </c>
      <c r="E29" s="102">
        <f>+'F2'!C172</f>
        <v>150</v>
      </c>
      <c r="F29" s="102" t="s">
        <v>1066</v>
      </c>
    </row>
    <row r="30" spans="2:6" thickBot="1" x14ac:dyDescent="0.4">
      <c r="B30" s="105"/>
      <c r="C30" s="102"/>
      <c r="D30" s="102"/>
      <c r="E30" s="102"/>
      <c r="F30" s="102"/>
    </row>
    <row r="36" spans="2:6" ht="15.75" thickBot="1" x14ac:dyDescent="0.3">
      <c r="B36" s="327" t="s">
        <v>1257</v>
      </c>
    </row>
    <row r="37" spans="2:6" x14ac:dyDescent="0.25">
      <c r="B37" s="659" t="s">
        <v>383</v>
      </c>
      <c r="C37" s="659" t="s">
        <v>464</v>
      </c>
      <c r="D37" s="659" t="s">
        <v>972</v>
      </c>
      <c r="E37" s="659" t="s">
        <v>593</v>
      </c>
    </row>
    <row r="38" spans="2:6" ht="15.75" thickBot="1" x14ac:dyDescent="0.3">
      <c r="B38" s="661"/>
      <c r="C38" s="661"/>
      <c r="D38" s="661"/>
      <c r="E38" s="661"/>
    </row>
    <row r="39" spans="2:6" thickBot="1" x14ac:dyDescent="0.4">
      <c r="B39" s="101">
        <v>1</v>
      </c>
      <c r="C39" s="102" t="s">
        <v>1081</v>
      </c>
      <c r="D39" s="102">
        <f>+'F2'!C185</f>
        <v>3500</v>
      </c>
      <c r="E39" s="102"/>
    </row>
    <row r="40" spans="2:6" thickBot="1" x14ac:dyDescent="0.4">
      <c r="B40" s="101">
        <v>2</v>
      </c>
      <c r="C40" s="102"/>
      <c r="D40" s="102"/>
      <c r="E40" s="102"/>
    </row>
    <row r="41" spans="2:6" thickBot="1" x14ac:dyDescent="0.4">
      <c r="B41" s="101">
        <v>3</v>
      </c>
      <c r="C41" s="102"/>
      <c r="D41" s="102"/>
      <c r="E41" s="102"/>
    </row>
    <row r="42" spans="2:6" thickBot="1" x14ac:dyDescent="0.4">
      <c r="B42" s="101">
        <v>4</v>
      </c>
      <c r="C42" s="102"/>
      <c r="D42" s="102"/>
      <c r="E42" s="102"/>
    </row>
    <row r="45" spans="2:6" ht="15.75" thickBot="1" x14ac:dyDescent="0.3">
      <c r="B45" s="327" t="s">
        <v>1258</v>
      </c>
    </row>
    <row r="46" spans="2:6" ht="29.25" customHeight="1" x14ac:dyDescent="0.25">
      <c r="B46" s="659" t="s">
        <v>383</v>
      </c>
      <c r="C46" s="659" t="s">
        <v>973</v>
      </c>
      <c r="D46" s="659" t="s">
        <v>974</v>
      </c>
      <c r="E46" s="659" t="s">
        <v>975</v>
      </c>
      <c r="F46" s="659" t="s">
        <v>593</v>
      </c>
    </row>
    <row r="47" spans="2:6" ht="15.75" thickBot="1" x14ac:dyDescent="0.3">
      <c r="B47" s="661"/>
      <c r="C47" s="661"/>
      <c r="D47" s="661"/>
      <c r="E47" s="661"/>
      <c r="F47" s="661"/>
    </row>
    <row r="48" spans="2:6" thickBot="1" x14ac:dyDescent="0.4">
      <c r="B48" s="101">
        <v>1</v>
      </c>
      <c r="C48" s="102"/>
      <c r="D48" s="102"/>
      <c r="E48" s="102"/>
      <c r="F48" s="102"/>
    </row>
    <row r="49" spans="2:6" thickBot="1" x14ac:dyDescent="0.4">
      <c r="B49" s="101"/>
      <c r="C49" s="102"/>
      <c r="D49" s="102"/>
      <c r="E49" s="102"/>
      <c r="F49" s="102"/>
    </row>
    <row r="50" spans="2:6" ht="14.45" x14ac:dyDescent="0.35">
      <c r="C50" s="192" t="s">
        <v>1086</v>
      </c>
    </row>
    <row r="53" spans="2:6" thickBot="1" x14ac:dyDescent="0.4">
      <c r="B53" s="108" t="s">
        <v>976</v>
      </c>
    </row>
    <row r="54" spans="2:6" ht="30.75" thickBot="1" x14ac:dyDescent="0.3">
      <c r="B54" s="99" t="s">
        <v>383</v>
      </c>
      <c r="C54" s="100" t="s">
        <v>977</v>
      </c>
      <c r="D54" s="100" t="s">
        <v>383</v>
      </c>
      <c r="E54" s="100" t="s">
        <v>978</v>
      </c>
      <c r="F54" s="100" t="s">
        <v>979</v>
      </c>
    </row>
    <row r="55" spans="2:6" thickBot="1" x14ac:dyDescent="0.4">
      <c r="B55" s="101">
        <v>1</v>
      </c>
      <c r="C55" s="102" t="s">
        <v>980</v>
      </c>
      <c r="D55" s="102">
        <f>+'F2'!B203</f>
        <v>1</v>
      </c>
      <c r="E55" s="102">
        <f>+'F2'!C203</f>
        <v>15000</v>
      </c>
      <c r="F55" s="106" t="s">
        <v>1070</v>
      </c>
    </row>
    <row r="56" spans="2:6" thickBot="1" x14ac:dyDescent="0.4">
      <c r="B56" s="101">
        <v>2</v>
      </c>
      <c r="C56" s="102" t="s">
        <v>981</v>
      </c>
      <c r="D56" s="102"/>
      <c r="E56" s="102"/>
      <c r="F56" s="106" t="s">
        <v>1070</v>
      </c>
    </row>
    <row r="57" spans="2:6" thickBot="1" x14ac:dyDescent="0.4">
      <c r="B57" s="101">
        <v>3</v>
      </c>
      <c r="C57" s="102" t="s">
        <v>982</v>
      </c>
      <c r="D57" s="102">
        <f>+'F2'!B190</f>
        <v>10</v>
      </c>
      <c r="E57" s="102">
        <f>+'F2'!C190</f>
        <v>300</v>
      </c>
      <c r="F57" s="106" t="s">
        <v>1070</v>
      </c>
    </row>
    <row r="60" spans="2:6" thickBot="1" x14ac:dyDescent="0.4">
      <c r="B60" s="108" t="s">
        <v>983</v>
      </c>
    </row>
    <row r="61" spans="2:6" ht="29.45" thickBot="1" x14ac:dyDescent="0.4">
      <c r="B61" s="99" t="s">
        <v>822</v>
      </c>
      <c r="C61" s="100" t="s">
        <v>868</v>
      </c>
      <c r="D61" s="100" t="s">
        <v>984</v>
      </c>
      <c r="E61" s="100" t="s">
        <v>593</v>
      </c>
    </row>
    <row r="62" spans="2:6" thickBot="1" x14ac:dyDescent="0.4">
      <c r="B62" s="101">
        <v>1</v>
      </c>
      <c r="C62" s="102" t="s">
        <v>985</v>
      </c>
      <c r="D62" s="102"/>
      <c r="E62" s="102" t="s">
        <v>1070</v>
      </c>
    </row>
    <row r="63" spans="2:6" thickBot="1" x14ac:dyDescent="0.4">
      <c r="B63" s="101">
        <v>2</v>
      </c>
      <c r="C63" s="102" t="s">
        <v>838</v>
      </c>
      <c r="D63" s="102"/>
      <c r="E63" s="102" t="s">
        <v>1070</v>
      </c>
    </row>
    <row r="64" spans="2:6" ht="14.45" x14ac:dyDescent="0.35">
      <c r="C64" s="192" t="s">
        <v>1085</v>
      </c>
    </row>
    <row r="70" spans="2:6" thickBot="1" x14ac:dyDescent="0.4">
      <c r="B70" s="108" t="s">
        <v>986</v>
      </c>
    </row>
    <row r="71" spans="2:6" x14ac:dyDescent="0.25">
      <c r="B71" s="659" t="s">
        <v>822</v>
      </c>
      <c r="C71" s="659" t="s">
        <v>987</v>
      </c>
      <c r="D71" s="659" t="s">
        <v>988</v>
      </c>
      <c r="E71" s="659" t="s">
        <v>989</v>
      </c>
      <c r="F71" s="659" t="s">
        <v>593</v>
      </c>
    </row>
    <row r="72" spans="2:6" ht="15.75" thickBot="1" x14ac:dyDescent="0.3">
      <c r="B72" s="661"/>
      <c r="C72" s="661"/>
      <c r="D72" s="661"/>
      <c r="E72" s="661"/>
      <c r="F72" s="661"/>
    </row>
    <row r="73" spans="2:6" thickBot="1" x14ac:dyDescent="0.4">
      <c r="B73" s="105">
        <v>1</v>
      </c>
      <c r="C73" s="107">
        <f>+Capex!H66</f>
        <v>82</v>
      </c>
      <c r="D73" s="107">
        <f>+'F2'!B191</f>
        <v>53.712000000000003</v>
      </c>
      <c r="E73" s="102">
        <f>+'F2'!C191</f>
        <v>8</v>
      </c>
      <c r="F73" s="102" t="s">
        <v>1073</v>
      </c>
    </row>
    <row r="76" spans="2:6" thickBot="1" x14ac:dyDescent="0.4">
      <c r="B76" s="108" t="s">
        <v>991</v>
      </c>
    </row>
    <row r="77" spans="2:6" thickBot="1" x14ac:dyDescent="0.4">
      <c r="B77" s="99" t="s">
        <v>822</v>
      </c>
      <c r="C77" s="100" t="s">
        <v>868</v>
      </c>
      <c r="D77" s="100" t="s">
        <v>992</v>
      </c>
      <c r="E77" s="100" t="s">
        <v>979</v>
      </c>
    </row>
    <row r="78" spans="2:6" ht="29.45" thickBot="1" x14ac:dyDescent="0.4">
      <c r="B78" s="101">
        <v>1</v>
      </c>
      <c r="C78" s="102" t="s">
        <v>993</v>
      </c>
      <c r="D78" s="102" t="s">
        <v>1075</v>
      </c>
      <c r="E78" s="102" t="s">
        <v>17</v>
      </c>
    </row>
    <row r="81" spans="2:7" thickBot="1" x14ac:dyDescent="0.4">
      <c r="B81" s="108" t="s">
        <v>994</v>
      </c>
    </row>
    <row r="82" spans="2:7" x14ac:dyDescent="0.25">
      <c r="B82" s="659" t="s">
        <v>383</v>
      </c>
      <c r="C82" s="659" t="s">
        <v>995</v>
      </c>
      <c r="D82" s="659" t="s">
        <v>130</v>
      </c>
      <c r="E82" s="659" t="s">
        <v>831</v>
      </c>
      <c r="F82" s="659" t="s">
        <v>996</v>
      </c>
      <c r="G82" s="659" t="s">
        <v>593</v>
      </c>
    </row>
    <row r="83" spans="2:7" ht="15.75" thickBot="1" x14ac:dyDescent="0.3">
      <c r="B83" s="661"/>
      <c r="C83" s="661"/>
      <c r="D83" s="661"/>
      <c r="E83" s="661"/>
      <c r="F83" s="661"/>
      <c r="G83" s="661"/>
    </row>
    <row r="84" spans="2:7" thickBot="1" x14ac:dyDescent="0.4">
      <c r="B84" s="101">
        <v>1</v>
      </c>
      <c r="C84" s="102"/>
      <c r="D84" s="102"/>
      <c r="E84" s="102"/>
      <c r="F84" s="102"/>
      <c r="G84" s="102"/>
    </row>
    <row r="85" spans="2:7" thickBot="1" x14ac:dyDescent="0.4">
      <c r="B85" s="101">
        <v>2</v>
      </c>
      <c r="C85" s="102" t="s">
        <v>1074</v>
      </c>
      <c r="D85" s="102"/>
      <c r="E85" s="102"/>
      <c r="F85" s="102"/>
      <c r="G85" s="102"/>
    </row>
    <row r="86" spans="2:7" thickBot="1" x14ac:dyDescent="0.4">
      <c r="B86" s="101">
        <v>3</v>
      </c>
      <c r="C86" s="102"/>
      <c r="D86" s="102"/>
      <c r="E86" s="102"/>
      <c r="F86" s="102"/>
      <c r="G86" s="102"/>
    </row>
    <row r="87" spans="2:7" thickBot="1" x14ac:dyDescent="0.4">
      <c r="B87" s="101"/>
      <c r="C87" s="102"/>
      <c r="D87" s="102"/>
      <c r="E87" s="102"/>
      <c r="F87" s="102"/>
      <c r="G87" s="102"/>
    </row>
    <row r="88" spans="2:7" ht="14.45" x14ac:dyDescent="0.35">
      <c r="B88" s="192" t="s">
        <v>997</v>
      </c>
    </row>
    <row r="106" spans="2:8" ht="15.75" thickBot="1" x14ac:dyDescent="0.3">
      <c r="B106" s="108" t="s">
        <v>1259</v>
      </c>
    </row>
    <row r="107" spans="2:8" x14ac:dyDescent="0.25">
      <c r="B107" s="659" t="s">
        <v>383</v>
      </c>
      <c r="C107" s="659" t="s">
        <v>998</v>
      </c>
      <c r="D107" s="659" t="s">
        <v>999</v>
      </c>
      <c r="E107" s="659" t="s">
        <v>130</v>
      </c>
      <c r="F107" s="659" t="s">
        <v>865</v>
      </c>
      <c r="G107" s="659" t="s">
        <v>1000</v>
      </c>
      <c r="H107" s="659" t="s">
        <v>593</v>
      </c>
    </row>
    <row r="108" spans="2:8" ht="15.75" thickBot="1" x14ac:dyDescent="0.3">
      <c r="B108" s="661"/>
      <c r="C108" s="661"/>
      <c r="D108" s="661"/>
      <c r="E108" s="661"/>
      <c r="F108" s="661"/>
      <c r="G108" s="661"/>
      <c r="H108" s="661"/>
    </row>
    <row r="109" spans="2:8" thickBot="1" x14ac:dyDescent="0.4">
      <c r="B109" s="105">
        <v>1</v>
      </c>
      <c r="C109" s="102" t="s">
        <v>1083</v>
      </c>
      <c r="D109" s="102" t="s">
        <v>1084</v>
      </c>
      <c r="E109" s="102" t="s">
        <v>1082</v>
      </c>
      <c r="F109" s="109">
        <f>+'F2'!D193/'F2'!C193</f>
        <v>40439.710080000012</v>
      </c>
      <c r="G109" s="102">
        <f>+'F2'!C193</f>
        <v>5</v>
      </c>
      <c r="H109" s="102"/>
    </row>
    <row r="112" spans="2:8" thickBot="1" x14ac:dyDescent="0.4">
      <c r="B112" s="108" t="s">
        <v>1001</v>
      </c>
    </row>
    <row r="113" spans="2:6" ht="29.25" customHeight="1" x14ac:dyDescent="0.25">
      <c r="B113" s="659" t="s">
        <v>383</v>
      </c>
      <c r="C113" s="723" t="s">
        <v>1002</v>
      </c>
      <c r="D113" s="723" t="s">
        <v>1003</v>
      </c>
      <c r="E113" s="723" t="s">
        <v>1004</v>
      </c>
      <c r="F113" s="723" t="s">
        <v>1005</v>
      </c>
    </row>
    <row r="114" spans="2:6" ht="15.75" thickBot="1" x14ac:dyDescent="0.3">
      <c r="B114" s="661"/>
      <c r="C114" s="724"/>
      <c r="D114" s="724"/>
      <c r="E114" s="724"/>
      <c r="F114" s="724"/>
    </row>
    <row r="115" spans="2:6" thickBot="1" x14ac:dyDescent="0.4">
      <c r="B115" s="110">
        <v>1</v>
      </c>
      <c r="C115" s="102"/>
      <c r="D115" s="102"/>
      <c r="E115" s="102"/>
      <c r="F115" s="102" t="s">
        <v>1070</v>
      </c>
    </row>
    <row r="116" spans="2:6" thickBot="1" x14ac:dyDescent="0.4">
      <c r="B116" s="105">
        <v>2</v>
      </c>
      <c r="C116" s="102"/>
      <c r="D116" s="102"/>
      <c r="E116" s="102"/>
      <c r="F116" s="102" t="s">
        <v>1070</v>
      </c>
    </row>
    <row r="119" spans="2:6" thickBot="1" x14ac:dyDescent="0.4">
      <c r="B119" s="108" t="s">
        <v>1006</v>
      </c>
    </row>
    <row r="120" spans="2:6" thickBot="1" x14ac:dyDescent="0.4">
      <c r="B120" s="99" t="s">
        <v>383</v>
      </c>
      <c r="C120" s="100" t="s">
        <v>868</v>
      </c>
      <c r="D120" s="100" t="s">
        <v>1007</v>
      </c>
      <c r="E120" s="100" t="s">
        <v>1005</v>
      </c>
    </row>
    <row r="121" spans="2:6" thickBot="1" x14ac:dyDescent="0.4">
      <c r="B121" s="110">
        <v>1</v>
      </c>
      <c r="C121" s="111" t="s">
        <v>1087</v>
      </c>
      <c r="D121" s="112">
        <f>+'F2'!D192/12</f>
        <v>385.14009600000009</v>
      </c>
      <c r="E121" s="106"/>
    </row>
    <row r="122" spans="2:6" thickBot="1" x14ac:dyDescent="0.4">
      <c r="B122" s="110">
        <v>2</v>
      </c>
      <c r="C122" s="111" t="s">
        <v>292</v>
      </c>
      <c r="D122" s="112">
        <f>+'F2'!D194/12</f>
        <v>641.90016000000014</v>
      </c>
      <c r="E122" s="106"/>
    </row>
  </sheetData>
  <mergeCells count="41">
    <mergeCell ref="H107:H108"/>
    <mergeCell ref="B113:B114"/>
    <mergeCell ref="C113:C114"/>
    <mergeCell ref="D113:D114"/>
    <mergeCell ref="E113:E114"/>
    <mergeCell ref="F113:F114"/>
    <mergeCell ref="G82:G83"/>
    <mergeCell ref="B107:B108"/>
    <mergeCell ref="C107:C108"/>
    <mergeCell ref="D107:D108"/>
    <mergeCell ref="E107:E108"/>
    <mergeCell ref="F107:F108"/>
    <mergeCell ref="G107:G108"/>
    <mergeCell ref="B82:B83"/>
    <mergeCell ref="C82:C83"/>
    <mergeCell ref="D82:D83"/>
    <mergeCell ref="E82:E83"/>
    <mergeCell ref="F82:F83"/>
    <mergeCell ref="B71:B72"/>
    <mergeCell ref="C71:C72"/>
    <mergeCell ref="D71:D72"/>
    <mergeCell ref="E71:E72"/>
    <mergeCell ref="F71:F72"/>
    <mergeCell ref="F46:F47"/>
    <mergeCell ref="B22:B23"/>
    <mergeCell ref="C22:C23"/>
    <mergeCell ref="D22:D23"/>
    <mergeCell ref="B37:B38"/>
    <mergeCell ref="C37:C38"/>
    <mergeCell ref="D37:D38"/>
    <mergeCell ref="E37:E38"/>
    <mergeCell ref="B46:B47"/>
    <mergeCell ref="C46:C47"/>
    <mergeCell ref="D46:D47"/>
    <mergeCell ref="E46:E47"/>
    <mergeCell ref="B16:B17"/>
    <mergeCell ref="C16:C17"/>
    <mergeCell ref="D16:D17"/>
    <mergeCell ref="B19:B20"/>
    <mergeCell ref="C19:C20"/>
    <mergeCell ref="D19:D20"/>
  </mergeCell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6"/>
  <sheetViews>
    <sheetView topLeftCell="A4" zoomScale="145" zoomScaleNormal="145" workbookViewId="0">
      <selection activeCell="C8" sqref="C8"/>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1260</v>
      </c>
    </row>
    <row r="14" spans="2:4" thickBot="1" x14ac:dyDescent="0.4">
      <c r="B14" s="99" t="s">
        <v>383</v>
      </c>
      <c r="C14" s="100" t="s">
        <v>0</v>
      </c>
      <c r="D14" s="100" t="s">
        <v>791</v>
      </c>
    </row>
    <row r="15" spans="2:4" thickBot="1" x14ac:dyDescent="0.4">
      <c r="B15" s="101">
        <v>1</v>
      </c>
      <c r="C15" s="102" t="s">
        <v>959</v>
      </c>
      <c r="D15" s="102" t="s">
        <v>1055</v>
      </c>
    </row>
    <row r="16" spans="2:4" x14ac:dyDescent="0.25">
      <c r="B16" s="725">
        <v>2</v>
      </c>
      <c r="C16" s="645" t="s">
        <v>960</v>
      </c>
      <c r="D16" s="645" t="s">
        <v>1056</v>
      </c>
    </row>
    <row r="17" spans="2:6" ht="15.75" thickBot="1" x14ac:dyDescent="0.3">
      <c r="B17" s="726"/>
      <c r="C17" s="647"/>
      <c r="D17" s="647"/>
    </row>
    <row r="18" spans="2:6" ht="15.75" thickBot="1" x14ac:dyDescent="0.3">
      <c r="B18" s="101" t="s">
        <v>961</v>
      </c>
      <c r="C18" s="102" t="s">
        <v>962</v>
      </c>
      <c r="D18" s="102" t="s">
        <v>1057</v>
      </c>
    </row>
    <row r="19" spans="2:6" x14ac:dyDescent="0.25">
      <c r="B19" s="725">
        <v>4</v>
      </c>
      <c r="C19" s="645" t="s">
        <v>963</v>
      </c>
      <c r="D19" s="645" t="s">
        <v>1058</v>
      </c>
    </row>
    <row r="20" spans="2:6" ht="15.75" thickBot="1" x14ac:dyDescent="0.3">
      <c r="B20" s="726"/>
      <c r="C20" s="647"/>
      <c r="D20" s="647"/>
    </row>
    <row r="21" spans="2:6" ht="30.75" thickBot="1" x14ac:dyDescent="0.3">
      <c r="B21" s="101">
        <v>5</v>
      </c>
      <c r="C21" s="102" t="s">
        <v>964</v>
      </c>
      <c r="D21" s="102" t="s">
        <v>1059</v>
      </c>
    </row>
    <row r="22" spans="2:6" x14ac:dyDescent="0.25">
      <c r="B22" s="725">
        <v>6</v>
      </c>
      <c r="C22" s="645" t="s">
        <v>1089</v>
      </c>
      <c r="D22" s="645">
        <f>+Capex!G6/100000</f>
        <v>23.6</v>
      </c>
    </row>
    <row r="23" spans="2:6" ht="15.75" thickBot="1" x14ac:dyDescent="0.3">
      <c r="B23" s="726"/>
      <c r="C23" s="647"/>
      <c r="D23" s="647"/>
    </row>
    <row r="24" spans="2:6" ht="30.75" thickBot="1" x14ac:dyDescent="0.3">
      <c r="B24" s="101" t="s">
        <v>966</v>
      </c>
      <c r="C24" s="102" t="s">
        <v>967</v>
      </c>
      <c r="D24" s="102" t="s">
        <v>1061</v>
      </c>
    </row>
    <row r="27" spans="2:6" ht="15.75" thickBot="1" x14ac:dyDescent="0.3">
      <c r="B27" s="327" t="s">
        <v>1256</v>
      </c>
    </row>
    <row r="28" spans="2:6" ht="45.75" thickBot="1" x14ac:dyDescent="0.3">
      <c r="B28" s="103" t="s">
        <v>383</v>
      </c>
      <c r="C28" s="104" t="s">
        <v>968</v>
      </c>
      <c r="D28" s="104" t="s">
        <v>130</v>
      </c>
      <c r="E28" s="104" t="s">
        <v>969</v>
      </c>
      <c r="F28" s="104" t="s">
        <v>970</v>
      </c>
    </row>
    <row r="29" spans="2:6" ht="15.75" thickBot="1" x14ac:dyDescent="0.3">
      <c r="B29" s="105">
        <v>1</v>
      </c>
      <c r="C29" s="102" t="s">
        <v>1062</v>
      </c>
      <c r="D29" s="102" t="s">
        <v>1064</v>
      </c>
      <c r="E29" s="102" t="s">
        <v>1065</v>
      </c>
      <c r="F29" s="102" t="s">
        <v>1066</v>
      </c>
    </row>
    <row r="30" spans="2:6" ht="15.75" thickBot="1" x14ac:dyDescent="0.3">
      <c r="B30" s="105">
        <v>2</v>
      </c>
      <c r="C30" s="102" t="s">
        <v>1063</v>
      </c>
      <c r="D30" s="102" t="s">
        <v>1064</v>
      </c>
      <c r="E30" s="102" t="s">
        <v>1065</v>
      </c>
      <c r="F30" s="102" t="s">
        <v>1066</v>
      </c>
    </row>
    <row r="35" spans="2:6" ht="15.75" thickBot="1" x14ac:dyDescent="0.3">
      <c r="B35" s="327" t="s">
        <v>1257</v>
      </c>
    </row>
    <row r="36" spans="2:6" x14ac:dyDescent="0.25">
      <c r="B36" s="659" t="s">
        <v>383</v>
      </c>
      <c r="C36" s="659" t="s">
        <v>971</v>
      </c>
      <c r="D36" s="659" t="s">
        <v>972</v>
      </c>
      <c r="E36" s="659" t="s">
        <v>593</v>
      </c>
    </row>
    <row r="37" spans="2:6" ht="15.75" thickBot="1" x14ac:dyDescent="0.3">
      <c r="B37" s="661"/>
      <c r="C37" s="661"/>
      <c r="D37" s="661"/>
      <c r="E37" s="661"/>
    </row>
    <row r="38" spans="2:6" ht="15.75" thickBot="1" x14ac:dyDescent="0.3">
      <c r="B38" s="101">
        <v>1</v>
      </c>
      <c r="C38" s="102"/>
      <c r="D38" s="102"/>
      <c r="E38" s="102"/>
    </row>
    <row r="39" spans="2:6" ht="15.75" thickBot="1" x14ac:dyDescent="0.3">
      <c r="B39" s="101">
        <v>2</v>
      </c>
      <c r="C39" s="102" t="s">
        <v>1074</v>
      </c>
      <c r="D39" s="102"/>
      <c r="E39" s="102"/>
    </row>
    <row r="40" spans="2:6" ht="15.75" thickBot="1" x14ac:dyDescent="0.3">
      <c r="B40" s="101">
        <v>3</v>
      </c>
      <c r="C40" s="102"/>
      <c r="D40" s="102"/>
      <c r="E40" s="102"/>
    </row>
    <row r="41" spans="2:6" ht="15.75" thickBot="1" x14ac:dyDescent="0.3">
      <c r="B41" s="101">
        <v>4</v>
      </c>
      <c r="C41" s="102"/>
      <c r="D41" s="102"/>
      <c r="E41" s="102"/>
    </row>
    <row r="44" spans="2:6" ht="15.75" thickBot="1" x14ac:dyDescent="0.3">
      <c r="B44" s="327" t="s">
        <v>1258</v>
      </c>
    </row>
    <row r="45" spans="2:6" ht="29.25" customHeight="1" x14ac:dyDescent="0.25">
      <c r="B45" s="659" t="s">
        <v>383</v>
      </c>
      <c r="C45" s="659" t="s">
        <v>973</v>
      </c>
      <c r="D45" s="659" t="s">
        <v>974</v>
      </c>
      <c r="E45" s="659" t="s">
        <v>975</v>
      </c>
      <c r="F45" s="659" t="s">
        <v>593</v>
      </c>
    </row>
    <row r="46" spans="2:6" ht="15.75" thickBot="1" x14ac:dyDescent="0.3">
      <c r="B46" s="661"/>
      <c r="C46" s="661"/>
      <c r="D46" s="661"/>
      <c r="E46" s="661"/>
      <c r="F46" s="661"/>
    </row>
    <row r="47" spans="2:6" ht="15.75" thickBot="1" x14ac:dyDescent="0.3">
      <c r="B47" s="101">
        <v>1</v>
      </c>
      <c r="C47" s="102" t="s">
        <v>1067</v>
      </c>
      <c r="D47" s="102">
        <v>1</v>
      </c>
      <c r="E47" s="102">
        <f>+'F3'!C33</f>
        <v>10000</v>
      </c>
      <c r="F47" s="102" t="s">
        <v>1069</v>
      </c>
    </row>
    <row r="48" spans="2:6" ht="15.75" thickBot="1" x14ac:dyDescent="0.3">
      <c r="B48" s="101">
        <v>2</v>
      </c>
      <c r="C48" s="102" t="s">
        <v>1068</v>
      </c>
      <c r="D48" s="102">
        <v>2</v>
      </c>
      <c r="E48" s="102" t="e">
        <f>+'F3'!#REF!</f>
        <v>#REF!</v>
      </c>
      <c r="F48" s="102" t="s">
        <v>1069</v>
      </c>
    </row>
    <row r="52" spans="2:6" ht="15.75" thickBot="1" x14ac:dyDescent="0.3">
      <c r="B52" s="108" t="s">
        <v>976</v>
      </c>
    </row>
    <row r="53" spans="2:6" ht="30.75" thickBot="1" x14ac:dyDescent="0.3">
      <c r="B53" s="99" t="s">
        <v>383</v>
      </c>
      <c r="C53" s="100" t="s">
        <v>977</v>
      </c>
      <c r="D53" s="100" t="s">
        <v>383</v>
      </c>
      <c r="E53" s="100" t="s">
        <v>978</v>
      </c>
      <c r="F53" s="100" t="s">
        <v>979</v>
      </c>
    </row>
    <row r="54" spans="2:6" ht="15.75" thickBot="1" x14ac:dyDescent="0.3">
      <c r="B54" s="101">
        <v>1</v>
      </c>
      <c r="C54" s="102" t="s">
        <v>980</v>
      </c>
      <c r="D54" s="102"/>
      <c r="E54" s="102"/>
      <c r="F54" s="106" t="s">
        <v>1070</v>
      </c>
    </row>
    <row r="55" spans="2:6" ht="15.75" thickBot="1" x14ac:dyDescent="0.3">
      <c r="B55" s="101">
        <v>2</v>
      </c>
      <c r="C55" s="102" t="s">
        <v>981</v>
      </c>
      <c r="D55" s="102"/>
      <c r="E55" s="102"/>
      <c r="F55" s="106" t="s">
        <v>1070</v>
      </c>
    </row>
    <row r="56" spans="2:6" ht="15.75" thickBot="1" x14ac:dyDescent="0.3">
      <c r="B56" s="101">
        <v>3</v>
      </c>
      <c r="C56" s="102" t="s">
        <v>982</v>
      </c>
      <c r="D56" s="102"/>
      <c r="E56" s="102"/>
      <c r="F56" s="106" t="s">
        <v>1070</v>
      </c>
    </row>
    <row r="68" spans="2:6" ht="15.75" thickBot="1" x14ac:dyDescent="0.3">
      <c r="B68" s="108" t="s">
        <v>983</v>
      </c>
    </row>
    <row r="69" spans="2:6" ht="30.75" thickBot="1" x14ac:dyDescent="0.3">
      <c r="B69" s="99" t="s">
        <v>822</v>
      </c>
      <c r="C69" s="100" t="s">
        <v>868</v>
      </c>
      <c r="D69" s="100" t="s">
        <v>984</v>
      </c>
      <c r="E69" s="100" t="s">
        <v>593</v>
      </c>
    </row>
    <row r="70" spans="2:6" ht="15.75" thickBot="1" x14ac:dyDescent="0.3">
      <c r="B70" s="101">
        <v>1</v>
      </c>
      <c r="C70" s="102" t="s">
        <v>985</v>
      </c>
      <c r="D70" s="102"/>
      <c r="E70" s="102" t="s">
        <v>1070</v>
      </c>
    </row>
    <row r="71" spans="2:6" ht="15.75" thickBot="1" x14ac:dyDescent="0.3">
      <c r="B71" s="101">
        <v>2</v>
      </c>
      <c r="C71" s="102" t="s">
        <v>838</v>
      </c>
      <c r="D71" s="102"/>
      <c r="E71" s="102" t="s">
        <v>1070</v>
      </c>
    </row>
    <row r="75" spans="2:6" ht="15.75" thickBot="1" x14ac:dyDescent="0.3">
      <c r="B75" s="108" t="s">
        <v>986</v>
      </c>
    </row>
    <row r="76" spans="2:6" x14ac:dyDescent="0.25">
      <c r="B76" s="659" t="s">
        <v>822</v>
      </c>
      <c r="C76" s="659" t="s">
        <v>987</v>
      </c>
      <c r="D76" s="659" t="s">
        <v>988</v>
      </c>
      <c r="E76" s="659" t="s">
        <v>989</v>
      </c>
      <c r="F76" s="659" t="s">
        <v>593</v>
      </c>
    </row>
    <row r="77" spans="2:6" ht="15.75" thickBot="1" x14ac:dyDescent="0.3">
      <c r="B77" s="661"/>
      <c r="C77" s="661"/>
      <c r="D77" s="661"/>
      <c r="E77" s="661"/>
      <c r="F77" s="661"/>
    </row>
    <row r="78" spans="2:6" ht="15.75" thickBot="1" x14ac:dyDescent="0.3">
      <c r="B78" s="105">
        <v>1</v>
      </c>
      <c r="C78" s="107" t="s">
        <v>1072</v>
      </c>
      <c r="D78" s="107" t="s">
        <v>990</v>
      </c>
      <c r="E78" s="102">
        <f>+'F3'!C25</f>
        <v>2800</v>
      </c>
      <c r="F78" s="102" t="s">
        <v>1073</v>
      </c>
    </row>
    <row r="81" spans="2:7" ht="15.75" thickBot="1" x14ac:dyDescent="0.3">
      <c r="B81" s="108" t="s">
        <v>991</v>
      </c>
    </row>
    <row r="82" spans="2:7" ht="15.75" thickBot="1" x14ac:dyDescent="0.3">
      <c r="B82" s="99" t="s">
        <v>822</v>
      </c>
      <c r="C82" s="100" t="s">
        <v>868</v>
      </c>
      <c r="D82" s="100" t="s">
        <v>992</v>
      </c>
      <c r="E82" s="100" t="s">
        <v>979</v>
      </c>
    </row>
    <row r="83" spans="2:7" ht="30.75" thickBot="1" x14ac:dyDescent="0.3">
      <c r="B83" s="101">
        <v>1</v>
      </c>
      <c r="C83" s="102" t="s">
        <v>993</v>
      </c>
      <c r="D83" s="102" t="s">
        <v>1075</v>
      </c>
      <c r="E83" s="102" t="s">
        <v>17</v>
      </c>
    </row>
    <row r="86" spans="2:7" ht="15.75" thickBot="1" x14ac:dyDescent="0.3">
      <c r="B86" s="108" t="s">
        <v>994</v>
      </c>
    </row>
    <row r="87" spans="2:7" x14ac:dyDescent="0.25">
      <c r="B87" s="659" t="s">
        <v>383</v>
      </c>
      <c r="C87" s="659" t="s">
        <v>995</v>
      </c>
      <c r="D87" s="659" t="s">
        <v>130</v>
      </c>
      <c r="E87" s="659" t="s">
        <v>831</v>
      </c>
      <c r="F87" s="659" t="s">
        <v>996</v>
      </c>
      <c r="G87" s="659" t="s">
        <v>593</v>
      </c>
    </row>
    <row r="88" spans="2:7" ht="15.75" thickBot="1" x14ac:dyDescent="0.3">
      <c r="B88" s="661"/>
      <c r="C88" s="661"/>
      <c r="D88" s="661"/>
      <c r="E88" s="661"/>
      <c r="F88" s="661"/>
      <c r="G88" s="661"/>
    </row>
    <row r="89" spans="2:7" ht="15.75" thickBot="1" x14ac:dyDescent="0.3">
      <c r="B89" s="101">
        <v>1</v>
      </c>
      <c r="C89" s="102"/>
      <c r="D89" s="102"/>
      <c r="E89" s="102"/>
      <c r="F89" s="102"/>
      <c r="G89" s="102"/>
    </row>
    <row r="90" spans="2:7" ht="15.75" thickBot="1" x14ac:dyDescent="0.3">
      <c r="B90" s="101">
        <v>2</v>
      </c>
      <c r="C90" s="102" t="s">
        <v>1074</v>
      </c>
      <c r="D90" s="102"/>
      <c r="E90" s="102"/>
      <c r="F90" s="102"/>
      <c r="G90" s="102"/>
    </row>
    <row r="91" spans="2:7" ht="15.75" thickBot="1" x14ac:dyDescent="0.3">
      <c r="B91" s="101">
        <v>3</v>
      </c>
      <c r="C91" s="102"/>
      <c r="D91" s="102"/>
      <c r="E91" s="102"/>
      <c r="F91" s="102"/>
      <c r="G91" s="102"/>
    </row>
    <row r="92" spans="2:7" ht="15.75" thickBot="1" x14ac:dyDescent="0.3">
      <c r="B92" s="101"/>
      <c r="C92" s="102"/>
      <c r="D92" s="102"/>
      <c r="E92" s="102"/>
      <c r="F92" s="102"/>
      <c r="G92" s="102"/>
    </row>
    <row r="93" spans="2:7" x14ac:dyDescent="0.25">
      <c r="B93" s="192" t="s">
        <v>997</v>
      </c>
    </row>
    <row r="101" spans="2:8" ht="15.75" thickBot="1" x14ac:dyDescent="0.3">
      <c r="B101" s="108" t="s">
        <v>1259</v>
      </c>
    </row>
    <row r="102" spans="2:8" x14ac:dyDescent="0.25">
      <c r="B102" s="659" t="s">
        <v>383</v>
      </c>
      <c r="C102" s="659" t="s">
        <v>998</v>
      </c>
      <c r="D102" s="659" t="s">
        <v>999</v>
      </c>
      <c r="E102" s="659" t="s">
        <v>130</v>
      </c>
      <c r="F102" s="659" t="s">
        <v>865</v>
      </c>
      <c r="G102" s="659" t="s">
        <v>1000</v>
      </c>
      <c r="H102" s="659" t="s">
        <v>593</v>
      </c>
    </row>
    <row r="103" spans="2:8" ht="15.75" thickBot="1" x14ac:dyDescent="0.3">
      <c r="B103" s="661"/>
      <c r="C103" s="661"/>
      <c r="D103" s="661"/>
      <c r="E103" s="661"/>
      <c r="F103" s="661"/>
      <c r="G103" s="661"/>
      <c r="H103" s="661"/>
    </row>
    <row r="104" spans="2:8" ht="15.75" thickBot="1" x14ac:dyDescent="0.3">
      <c r="B104" s="105">
        <v>1</v>
      </c>
      <c r="C104" s="102" t="s">
        <v>1074</v>
      </c>
      <c r="D104" s="102"/>
      <c r="E104" s="102"/>
      <c r="F104" s="102"/>
      <c r="G104" s="102"/>
      <c r="H104" s="102"/>
    </row>
    <row r="107" spans="2:8" ht="15.75" thickBot="1" x14ac:dyDescent="0.3">
      <c r="B107" s="108" t="s">
        <v>1001</v>
      </c>
    </row>
    <row r="108" spans="2:8" ht="29.25" customHeight="1" x14ac:dyDescent="0.25">
      <c r="B108" s="659" t="s">
        <v>383</v>
      </c>
      <c r="C108" s="723" t="s">
        <v>1002</v>
      </c>
      <c r="D108" s="723" t="s">
        <v>1003</v>
      </c>
      <c r="E108" s="723" t="s">
        <v>1210</v>
      </c>
      <c r="F108" s="723" t="s">
        <v>1005</v>
      </c>
    </row>
    <row r="109" spans="2:8" ht="15.75" thickBot="1" x14ac:dyDescent="0.3">
      <c r="B109" s="661"/>
      <c r="C109" s="724"/>
      <c r="D109" s="724"/>
      <c r="E109" s="724"/>
      <c r="F109" s="724"/>
    </row>
    <row r="110" spans="2:8" ht="15.75" thickBot="1" x14ac:dyDescent="0.3">
      <c r="B110" s="110">
        <v>1</v>
      </c>
      <c r="C110" s="102" t="s">
        <v>298</v>
      </c>
      <c r="D110" s="102" t="s">
        <v>1071</v>
      </c>
      <c r="E110" s="113">
        <f>+'F3'!C23/1000*100</f>
        <v>0.5</v>
      </c>
      <c r="F110" s="102" t="s">
        <v>1070</v>
      </c>
    </row>
    <row r="111" spans="2:8" ht="15.75" thickBot="1" x14ac:dyDescent="0.3">
      <c r="B111" s="105">
        <v>2</v>
      </c>
      <c r="C111" s="102" t="s">
        <v>299</v>
      </c>
      <c r="D111" s="102" t="s">
        <v>1071</v>
      </c>
      <c r="E111" s="113">
        <f>+'F3'!C24/1000*100</f>
        <v>0.5</v>
      </c>
      <c r="F111" s="102" t="s">
        <v>1070</v>
      </c>
    </row>
    <row r="114" spans="2:5" ht="15.75" thickBot="1" x14ac:dyDescent="0.3">
      <c r="B114" s="108" t="s">
        <v>1006</v>
      </c>
    </row>
    <row r="115" spans="2:5" ht="15.75" thickBot="1" x14ac:dyDescent="0.3">
      <c r="B115" s="99" t="s">
        <v>383</v>
      </c>
      <c r="C115" s="100" t="s">
        <v>868</v>
      </c>
      <c r="D115" s="100" t="s">
        <v>1007</v>
      </c>
      <c r="E115" s="100" t="s">
        <v>1005</v>
      </c>
    </row>
    <row r="116" spans="2:5" ht="15.75" thickBot="1" x14ac:dyDescent="0.3">
      <c r="B116" s="105">
        <v>1</v>
      </c>
      <c r="C116" s="114" t="s">
        <v>1074</v>
      </c>
      <c r="D116" s="114"/>
      <c r="E116" s="114"/>
    </row>
  </sheetData>
  <mergeCells count="41">
    <mergeCell ref="B16:B17"/>
    <mergeCell ref="C16:C17"/>
    <mergeCell ref="D16:D17"/>
    <mergeCell ref="B19:B20"/>
    <mergeCell ref="C19:C20"/>
    <mergeCell ref="D19:D20"/>
    <mergeCell ref="F45:F46"/>
    <mergeCell ref="B22:B23"/>
    <mergeCell ref="C22:C23"/>
    <mergeCell ref="D22:D23"/>
    <mergeCell ref="B36:B37"/>
    <mergeCell ref="C36:C37"/>
    <mergeCell ref="D36:D37"/>
    <mergeCell ref="E36:E37"/>
    <mergeCell ref="B45:B46"/>
    <mergeCell ref="C45:C46"/>
    <mergeCell ref="D45:D46"/>
    <mergeCell ref="E45:E46"/>
    <mergeCell ref="B76:B77"/>
    <mergeCell ref="C76:C77"/>
    <mergeCell ref="D76:D77"/>
    <mergeCell ref="E76:E77"/>
    <mergeCell ref="F76:F77"/>
    <mergeCell ref="G87:G88"/>
    <mergeCell ref="B102:B103"/>
    <mergeCell ref="C102:C103"/>
    <mergeCell ref="D102:D103"/>
    <mergeCell ref="E102:E103"/>
    <mergeCell ref="F102:F103"/>
    <mergeCell ref="G102:G103"/>
    <mergeCell ref="B87:B88"/>
    <mergeCell ref="C87:C88"/>
    <mergeCell ref="D87:D88"/>
    <mergeCell ref="E87:E88"/>
    <mergeCell ref="F87:F88"/>
    <mergeCell ref="H102:H103"/>
    <mergeCell ref="B108:B109"/>
    <mergeCell ref="C108:C109"/>
    <mergeCell ref="D108:D109"/>
    <mergeCell ref="E108:E109"/>
    <mergeCell ref="F108:F109"/>
  </mergeCells>
  <pageMargins left="0.32" right="0.21" top="0.22" bottom="0.24" header="0.17" footer="0.17"/>
  <pageSetup paperSize="9" orientation="landscape"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1"/>
  <sheetViews>
    <sheetView topLeftCell="A7" zoomScale="145" zoomScaleNormal="145" workbookViewId="0">
      <selection activeCell="E11" sqref="E11"/>
    </sheetView>
  </sheetViews>
  <sheetFormatPr defaultColWidth="8.7109375" defaultRowHeight="15" x14ac:dyDescent="0.25"/>
  <cols>
    <col min="1" max="1" width="3" style="192" customWidth="1"/>
    <col min="2" max="2" width="8.7109375" style="192"/>
    <col min="3" max="3" width="34.28515625" style="192" customWidth="1"/>
    <col min="4" max="4" width="24.85546875" style="192" customWidth="1"/>
    <col min="5" max="5" width="13.5703125" style="192" customWidth="1"/>
    <col min="6" max="6" width="16.85546875" style="192" customWidth="1"/>
    <col min="7" max="16384" width="8.7109375" style="192"/>
  </cols>
  <sheetData>
    <row r="2" spans="2:4" ht="14.45" x14ac:dyDescent="0.35">
      <c r="B2" s="192" t="s">
        <v>951</v>
      </c>
    </row>
    <row r="3" spans="2:4" ht="14.45" x14ac:dyDescent="0.35">
      <c r="B3" s="325" t="s">
        <v>952</v>
      </c>
    </row>
    <row r="4" spans="2:4" ht="14.45" x14ac:dyDescent="0.35">
      <c r="B4" s="325"/>
    </row>
    <row r="5" spans="2:4" ht="14.45" x14ac:dyDescent="0.35">
      <c r="B5" s="326" t="s">
        <v>953</v>
      </c>
    </row>
    <row r="6" spans="2:4" ht="14.45" x14ac:dyDescent="0.35">
      <c r="B6" s="326" t="s">
        <v>954</v>
      </c>
    </row>
    <row r="7" spans="2:4" ht="14.45" x14ac:dyDescent="0.35">
      <c r="B7" s="326"/>
    </row>
    <row r="8" spans="2:4" ht="14.45" x14ac:dyDescent="0.35">
      <c r="B8" s="192" t="s">
        <v>955</v>
      </c>
    </row>
    <row r="9" spans="2:4" x14ac:dyDescent="0.25">
      <c r="B9" s="192" t="s">
        <v>956</v>
      </c>
    </row>
    <row r="10" spans="2:4" x14ac:dyDescent="0.25">
      <c r="B10" s="192" t="s">
        <v>957</v>
      </c>
    </row>
    <row r="11" spans="2:4" ht="14.45" x14ac:dyDescent="0.35">
      <c r="B11" s="192" t="s">
        <v>958</v>
      </c>
    </row>
    <row r="13" spans="2:4" ht="15.75" thickBot="1" x14ac:dyDescent="0.3">
      <c r="B13" s="327" t="s">
        <v>1255</v>
      </c>
    </row>
    <row r="14" spans="2:4" thickBot="1" x14ac:dyDescent="0.4">
      <c r="B14" s="99" t="s">
        <v>383</v>
      </c>
      <c r="C14" s="100" t="s">
        <v>0</v>
      </c>
      <c r="D14" s="100" t="s">
        <v>791</v>
      </c>
    </row>
    <row r="15" spans="2:4" thickBot="1" x14ac:dyDescent="0.4">
      <c r="B15" s="101">
        <v>1</v>
      </c>
      <c r="C15" s="102" t="s">
        <v>959</v>
      </c>
      <c r="D15" s="102" t="s">
        <v>356</v>
      </c>
    </row>
    <row r="16" spans="2:4" x14ac:dyDescent="0.25">
      <c r="B16" s="725">
        <v>2</v>
      </c>
      <c r="C16" s="645" t="s">
        <v>960</v>
      </c>
      <c r="D16" s="645" t="s">
        <v>1077</v>
      </c>
    </row>
    <row r="17" spans="2:4" ht="15.75" thickBot="1" x14ac:dyDescent="0.3">
      <c r="B17" s="726"/>
      <c r="C17" s="647"/>
      <c r="D17" s="647"/>
    </row>
    <row r="18" spans="2:4" ht="15.75" thickBot="1" x14ac:dyDescent="0.3">
      <c r="B18" s="101" t="s">
        <v>961</v>
      </c>
      <c r="C18" s="102" t="s">
        <v>962</v>
      </c>
      <c r="D18" s="102" t="s">
        <v>1078</v>
      </c>
    </row>
    <row r="19" spans="2:4" x14ac:dyDescent="0.25">
      <c r="B19" s="725">
        <v>4</v>
      </c>
      <c r="C19" s="645" t="s">
        <v>963</v>
      </c>
      <c r="D19" s="645" t="s">
        <v>1079</v>
      </c>
    </row>
    <row r="20" spans="2:4" ht="15.75" thickBot="1" x14ac:dyDescent="0.3">
      <c r="B20" s="726"/>
      <c r="C20" s="647"/>
      <c r="D20" s="647"/>
    </row>
    <row r="21" spans="2:4" ht="30.75" customHeight="1" thickBot="1" x14ac:dyDescent="0.3">
      <c r="B21" s="101">
        <v>5</v>
      </c>
      <c r="C21" s="102" t="s">
        <v>1088</v>
      </c>
      <c r="D21" s="102">
        <f>+Capex!G32/100000</f>
        <v>23.74</v>
      </c>
    </row>
    <row r="22" spans="2:4" x14ac:dyDescent="0.25">
      <c r="B22" s="725">
        <v>6</v>
      </c>
      <c r="C22" s="645" t="s">
        <v>965</v>
      </c>
      <c r="D22" s="645" t="s">
        <v>1070</v>
      </c>
    </row>
    <row r="23" spans="2:4" ht="15.75" thickBot="1" x14ac:dyDescent="0.3">
      <c r="B23" s="726"/>
      <c r="C23" s="647"/>
      <c r="D23" s="647"/>
    </row>
    <row r="24" spans="2:4" ht="30.75" thickBot="1" x14ac:dyDescent="0.3">
      <c r="B24" s="101">
        <v>7</v>
      </c>
      <c r="C24" s="102" t="s">
        <v>967</v>
      </c>
      <c r="D24" s="102" t="s">
        <v>1061</v>
      </c>
    </row>
    <row r="37" spans="2:6" ht="15.75" thickBot="1" x14ac:dyDescent="0.3">
      <c r="B37" s="327" t="s">
        <v>1256</v>
      </c>
    </row>
    <row r="38" spans="2:6" ht="45.75" thickBot="1" x14ac:dyDescent="0.3">
      <c r="B38" s="103" t="s">
        <v>383</v>
      </c>
      <c r="C38" s="104" t="s">
        <v>968</v>
      </c>
      <c r="D38" s="104" t="s">
        <v>1090</v>
      </c>
      <c r="E38" s="104" t="s">
        <v>969</v>
      </c>
      <c r="F38" s="104" t="s">
        <v>970</v>
      </c>
    </row>
    <row r="39" spans="2:6" ht="15.75" thickBot="1" x14ac:dyDescent="0.3">
      <c r="B39" s="105">
        <v>1</v>
      </c>
      <c r="C39" s="102" t="e">
        <f>+'F4'!#REF!</f>
        <v>#REF!</v>
      </c>
      <c r="D39" s="102" t="e">
        <f>+'F4'!#REF!</f>
        <v>#REF!</v>
      </c>
      <c r="E39" s="102" t="e">
        <f>+'F4'!#REF!</f>
        <v>#REF!</v>
      </c>
      <c r="F39" s="102" t="e">
        <f>+E39</f>
        <v>#REF!</v>
      </c>
    </row>
    <row r="40" spans="2:6" ht="15.75" thickBot="1" x14ac:dyDescent="0.3">
      <c r="B40" s="105">
        <v>2</v>
      </c>
      <c r="C40" s="102" t="str">
        <f>+'F4'!A24</f>
        <v>THRESHER</v>
      </c>
      <c r="D40" s="102">
        <f>+'F4'!C24</f>
        <v>360</v>
      </c>
      <c r="E40" s="102">
        <f>+'F4'!D24</f>
        <v>1200</v>
      </c>
      <c r="F40" s="102">
        <f t="shared" ref="F40:F44" si="0">+E40</f>
        <v>1200</v>
      </c>
    </row>
    <row r="41" spans="2:6" ht="15.75" thickBot="1" x14ac:dyDescent="0.3">
      <c r="B41" s="105">
        <v>3</v>
      </c>
      <c r="C41" s="102" t="str">
        <f>+'F4'!A25</f>
        <v>PADDY REAPER - 5 PR 5.5 HP</v>
      </c>
      <c r="D41" s="102">
        <f>+'F4'!C25</f>
        <v>180</v>
      </c>
      <c r="E41" s="102">
        <f>+'F4'!D25</f>
        <v>1200</v>
      </c>
      <c r="F41" s="102">
        <f t="shared" si="0"/>
        <v>1200</v>
      </c>
    </row>
    <row r="42" spans="2:6" ht="15.75" thickBot="1" x14ac:dyDescent="0.3">
      <c r="B42" s="105">
        <v>4</v>
      </c>
      <c r="C42" s="102" t="str">
        <f>+'F4'!A26</f>
        <v>POWER TRILLER -  10 HP</v>
      </c>
      <c r="D42" s="102">
        <f>+'F4'!C26</f>
        <v>240</v>
      </c>
      <c r="E42" s="102">
        <f>+'F4'!D26</f>
        <v>1200</v>
      </c>
      <c r="F42" s="102">
        <f t="shared" si="0"/>
        <v>1200</v>
      </c>
    </row>
    <row r="43" spans="2:6" ht="15.75" thickBot="1" x14ac:dyDescent="0.3">
      <c r="B43" s="105">
        <v>5</v>
      </c>
      <c r="C43" s="102" t="str">
        <f>+'F4'!A27</f>
        <v>STRAW REAPER</v>
      </c>
      <c r="D43" s="102">
        <f>+'F4'!C27</f>
        <v>160</v>
      </c>
      <c r="E43" s="102">
        <f>+'F4'!D27</f>
        <v>1200</v>
      </c>
      <c r="F43" s="102">
        <f t="shared" si="0"/>
        <v>1200</v>
      </c>
    </row>
    <row r="44" spans="2:6" ht="15.75" thickBot="1" x14ac:dyDescent="0.3">
      <c r="B44" s="105">
        <v>6</v>
      </c>
      <c r="C44" s="102" t="str">
        <f>+'F4'!A28</f>
        <v>POST HOLE DIGGER</v>
      </c>
      <c r="D44" s="102">
        <f>+'F4'!C28</f>
        <v>120</v>
      </c>
      <c r="E44" s="102">
        <f>+'F4'!D28</f>
        <v>1000</v>
      </c>
      <c r="F44" s="102">
        <f t="shared" si="0"/>
        <v>1000</v>
      </c>
    </row>
    <row r="45" spans="2:6" ht="15.75" thickBot="1" x14ac:dyDescent="0.3">
      <c r="B45" s="105"/>
      <c r="C45" s="102"/>
      <c r="D45" s="102"/>
      <c r="E45" s="102"/>
      <c r="F45" s="102"/>
    </row>
    <row r="46" spans="2:6" ht="15.75" thickBot="1" x14ac:dyDescent="0.3">
      <c r="B46" s="105"/>
      <c r="C46" s="102"/>
      <c r="D46" s="102"/>
      <c r="E46" s="102"/>
      <c r="F46" s="102"/>
    </row>
    <row r="47" spans="2:6" x14ac:dyDescent="0.25">
      <c r="B47" s="326" t="s">
        <v>1091</v>
      </c>
    </row>
    <row r="48" spans="2:6" x14ac:dyDescent="0.25">
      <c r="B48" s="192" t="s">
        <v>1092</v>
      </c>
    </row>
    <row r="50" spans="2:6" ht="15.75" thickBot="1" x14ac:dyDescent="0.3">
      <c r="B50" s="327" t="s">
        <v>1257</v>
      </c>
    </row>
    <row r="51" spans="2:6" x14ac:dyDescent="0.25">
      <c r="B51" s="659" t="s">
        <v>383</v>
      </c>
      <c r="C51" s="659" t="s">
        <v>464</v>
      </c>
      <c r="D51" s="659" t="s">
        <v>972</v>
      </c>
      <c r="E51" s="659" t="s">
        <v>593</v>
      </c>
    </row>
    <row r="52" spans="2:6" ht="15.75" thickBot="1" x14ac:dyDescent="0.3">
      <c r="B52" s="661"/>
      <c r="C52" s="661"/>
      <c r="D52" s="661"/>
      <c r="E52" s="661"/>
    </row>
    <row r="53" spans="2:6" ht="15.75" thickBot="1" x14ac:dyDescent="0.3">
      <c r="B53" s="101">
        <v>1</v>
      </c>
      <c r="C53" s="102" t="s">
        <v>1070</v>
      </c>
      <c r="D53" s="102" t="s">
        <v>1070</v>
      </c>
      <c r="E53" s="102"/>
    </row>
    <row r="54" spans="2:6" ht="15.75" thickBot="1" x14ac:dyDescent="0.3">
      <c r="B54" s="101">
        <v>2</v>
      </c>
      <c r="C54" s="102"/>
      <c r="D54" s="102"/>
      <c r="E54" s="102"/>
    </row>
    <row r="55" spans="2:6" ht="15.75" thickBot="1" x14ac:dyDescent="0.3">
      <c r="B55" s="101">
        <v>3</v>
      </c>
      <c r="C55" s="102"/>
      <c r="D55" s="102"/>
      <c r="E55" s="102"/>
    </row>
    <row r="56" spans="2:6" ht="15.75" thickBot="1" x14ac:dyDescent="0.3">
      <c r="B56" s="101">
        <v>4</v>
      </c>
      <c r="C56" s="102"/>
      <c r="D56" s="102"/>
      <c r="E56" s="102"/>
    </row>
    <row r="59" spans="2:6" ht="15.75" thickBot="1" x14ac:dyDescent="0.3">
      <c r="B59" s="327" t="s">
        <v>1258</v>
      </c>
    </row>
    <row r="60" spans="2:6" ht="29.25" customHeight="1" x14ac:dyDescent="0.25">
      <c r="B60" s="659" t="s">
        <v>383</v>
      </c>
      <c r="C60" s="659" t="s">
        <v>973</v>
      </c>
      <c r="D60" s="659" t="s">
        <v>974</v>
      </c>
      <c r="E60" s="659" t="s">
        <v>975</v>
      </c>
      <c r="F60" s="659" t="s">
        <v>593</v>
      </c>
    </row>
    <row r="61" spans="2:6" ht="15.75" thickBot="1" x14ac:dyDescent="0.3">
      <c r="B61" s="661"/>
      <c r="C61" s="661"/>
      <c r="D61" s="661"/>
      <c r="E61" s="661"/>
      <c r="F61" s="661"/>
    </row>
    <row r="62" spans="2:6" ht="15.75" thickBot="1" x14ac:dyDescent="0.3">
      <c r="B62" s="101">
        <v>1</v>
      </c>
      <c r="C62" s="102" t="s">
        <v>1070</v>
      </c>
      <c r="D62" s="102"/>
      <c r="E62" s="102"/>
      <c r="F62" s="102"/>
    </row>
    <row r="63" spans="2:6" ht="15.75" thickBot="1" x14ac:dyDescent="0.3">
      <c r="B63" s="101"/>
      <c r="C63" s="102"/>
      <c r="D63" s="102"/>
      <c r="E63" s="102"/>
      <c r="F63" s="102"/>
    </row>
    <row r="64" spans="2:6" x14ac:dyDescent="0.25">
      <c r="C64" s="192" t="s">
        <v>1086</v>
      </c>
    </row>
    <row r="70" spans="2:6" ht="15.75" thickBot="1" x14ac:dyDescent="0.3">
      <c r="B70" s="108" t="s">
        <v>976</v>
      </c>
    </row>
    <row r="71" spans="2:6" ht="30.75" thickBot="1" x14ac:dyDescent="0.3">
      <c r="B71" s="99" t="s">
        <v>383</v>
      </c>
      <c r="C71" s="100" t="s">
        <v>977</v>
      </c>
      <c r="D71" s="100" t="s">
        <v>383</v>
      </c>
      <c r="E71" s="100" t="s">
        <v>978</v>
      </c>
      <c r="F71" s="100" t="s">
        <v>979</v>
      </c>
    </row>
    <row r="72" spans="2:6" ht="15.75" thickBot="1" x14ac:dyDescent="0.3">
      <c r="B72" s="101">
        <v>1</v>
      </c>
      <c r="C72" s="102" t="s">
        <v>980</v>
      </c>
      <c r="D72" s="102">
        <f>+'F4'!C40</f>
        <v>1</v>
      </c>
      <c r="E72" s="102">
        <f>+'F4'!D40</f>
        <v>15000</v>
      </c>
      <c r="F72" s="106" t="s">
        <v>1070</v>
      </c>
    </row>
    <row r="73" spans="2:6" ht="15.75" thickBot="1" x14ac:dyDescent="0.3">
      <c r="B73" s="101">
        <v>2</v>
      </c>
      <c r="C73" s="102" t="s">
        <v>981</v>
      </c>
      <c r="D73" s="102"/>
      <c r="E73" s="102"/>
      <c r="F73" s="106" t="s">
        <v>1070</v>
      </c>
    </row>
    <row r="74" spans="2:6" ht="15.75" thickBot="1" x14ac:dyDescent="0.3">
      <c r="B74" s="101">
        <v>3</v>
      </c>
      <c r="C74" s="102" t="s">
        <v>982</v>
      </c>
      <c r="D74" s="102">
        <v>0</v>
      </c>
      <c r="E74" s="102">
        <v>0</v>
      </c>
      <c r="F74" s="106" t="s">
        <v>1070</v>
      </c>
    </row>
    <row r="77" spans="2:6" ht="15.75" thickBot="1" x14ac:dyDescent="0.3">
      <c r="B77" s="108" t="s">
        <v>983</v>
      </c>
    </row>
    <row r="78" spans="2:6" ht="30.75" thickBot="1" x14ac:dyDescent="0.3">
      <c r="B78" s="99" t="s">
        <v>822</v>
      </c>
      <c r="C78" s="100" t="s">
        <v>868</v>
      </c>
      <c r="D78" s="100" t="s">
        <v>984</v>
      </c>
      <c r="E78" s="100" t="s">
        <v>593</v>
      </c>
    </row>
    <row r="79" spans="2:6" ht="15.75" thickBot="1" x14ac:dyDescent="0.3">
      <c r="B79" s="101">
        <v>1</v>
      </c>
      <c r="C79" s="102" t="s">
        <v>1093</v>
      </c>
      <c r="D79" s="102"/>
      <c r="E79" s="102" t="s">
        <v>1070</v>
      </c>
    </row>
    <row r="80" spans="2:6" ht="15.75" thickBot="1" x14ac:dyDescent="0.3">
      <c r="B80" s="101">
        <v>2</v>
      </c>
      <c r="C80" s="102" t="s">
        <v>1033</v>
      </c>
      <c r="D80" s="102"/>
      <c r="E80" s="102" t="s">
        <v>1070</v>
      </c>
    </row>
    <row r="81" spans="2:6" x14ac:dyDescent="0.25">
      <c r="C81" s="192" t="s">
        <v>1085</v>
      </c>
    </row>
    <row r="84" spans="2:6" ht="15.75" thickBot="1" x14ac:dyDescent="0.3">
      <c r="B84" s="108" t="s">
        <v>986</v>
      </c>
    </row>
    <row r="85" spans="2:6" x14ac:dyDescent="0.25">
      <c r="B85" s="659" t="s">
        <v>822</v>
      </c>
      <c r="C85" s="659" t="s">
        <v>987</v>
      </c>
      <c r="D85" s="659" t="s">
        <v>988</v>
      </c>
      <c r="E85" s="659" t="s">
        <v>989</v>
      </c>
      <c r="F85" s="659" t="s">
        <v>593</v>
      </c>
    </row>
    <row r="86" spans="2:6" ht="15.75" thickBot="1" x14ac:dyDescent="0.3">
      <c r="B86" s="661"/>
      <c r="C86" s="661"/>
      <c r="D86" s="661"/>
      <c r="E86" s="661"/>
      <c r="F86" s="661"/>
    </row>
    <row r="87" spans="2:6" ht="15.75" thickBot="1" x14ac:dyDescent="0.3">
      <c r="B87" s="105">
        <v>1</v>
      </c>
      <c r="C87" s="107" t="s">
        <v>1070</v>
      </c>
      <c r="D87" s="107" t="s">
        <v>1070</v>
      </c>
      <c r="E87" s="102" t="s">
        <v>1070</v>
      </c>
      <c r="F87" s="102" t="s">
        <v>1070</v>
      </c>
    </row>
    <row r="90" spans="2:6" ht="15.75" thickBot="1" x14ac:dyDescent="0.3">
      <c r="B90" s="108" t="s">
        <v>991</v>
      </c>
    </row>
    <row r="91" spans="2:6" ht="15.75" thickBot="1" x14ac:dyDescent="0.3">
      <c r="B91" s="99" t="s">
        <v>822</v>
      </c>
      <c r="C91" s="100" t="s">
        <v>868</v>
      </c>
      <c r="D91" s="100" t="s">
        <v>992</v>
      </c>
      <c r="E91" s="100" t="s">
        <v>979</v>
      </c>
    </row>
    <row r="92" spans="2:6" ht="30.75" thickBot="1" x14ac:dyDescent="0.3">
      <c r="B92" s="101">
        <v>1</v>
      </c>
      <c r="C92" s="102" t="s">
        <v>993</v>
      </c>
      <c r="D92" s="102" t="s">
        <v>1075</v>
      </c>
      <c r="E92" s="102" t="s">
        <v>17</v>
      </c>
    </row>
    <row r="105" spans="2:7" ht="15.75" thickBot="1" x14ac:dyDescent="0.3">
      <c r="B105" s="108" t="s">
        <v>994</v>
      </c>
    </row>
    <row r="106" spans="2:7" x14ac:dyDescent="0.25">
      <c r="B106" s="659" t="s">
        <v>383</v>
      </c>
      <c r="C106" s="659" t="s">
        <v>995</v>
      </c>
      <c r="D106" s="659" t="s">
        <v>130</v>
      </c>
      <c r="E106" s="659" t="s">
        <v>831</v>
      </c>
      <c r="F106" s="659" t="s">
        <v>996</v>
      </c>
      <c r="G106" s="659" t="s">
        <v>593</v>
      </c>
    </row>
    <row r="107" spans="2:7" ht="15.75" thickBot="1" x14ac:dyDescent="0.3">
      <c r="B107" s="661"/>
      <c r="C107" s="661"/>
      <c r="D107" s="661"/>
      <c r="E107" s="661"/>
      <c r="F107" s="661"/>
      <c r="G107" s="661"/>
    </row>
    <row r="108" spans="2:7" ht="15.75" thickBot="1" x14ac:dyDescent="0.3">
      <c r="B108" s="101">
        <v>1</v>
      </c>
      <c r="C108" s="102"/>
      <c r="D108" s="102"/>
      <c r="E108" s="102"/>
      <c r="F108" s="102"/>
      <c r="G108" s="102"/>
    </row>
    <row r="109" spans="2:7" ht="15.75" thickBot="1" x14ac:dyDescent="0.3">
      <c r="B109" s="101">
        <v>2</v>
      </c>
      <c r="C109" s="102" t="s">
        <v>1074</v>
      </c>
      <c r="D109" s="102"/>
      <c r="E109" s="102"/>
      <c r="F109" s="102"/>
      <c r="G109" s="102"/>
    </row>
    <row r="110" spans="2:7" ht="15.75" thickBot="1" x14ac:dyDescent="0.3">
      <c r="B110" s="101">
        <v>3</v>
      </c>
      <c r="C110" s="102"/>
      <c r="D110" s="102"/>
      <c r="E110" s="102"/>
      <c r="F110" s="102"/>
      <c r="G110" s="102"/>
    </row>
    <row r="111" spans="2:7" ht="15.75" thickBot="1" x14ac:dyDescent="0.3">
      <c r="B111" s="101"/>
      <c r="C111" s="102"/>
      <c r="D111" s="102"/>
      <c r="E111" s="102"/>
      <c r="F111" s="102"/>
      <c r="G111" s="102"/>
    </row>
    <row r="112" spans="2:7" x14ac:dyDescent="0.25">
      <c r="B112" s="192" t="s">
        <v>997</v>
      </c>
    </row>
    <row r="115" spans="2:8" ht="15.75" thickBot="1" x14ac:dyDescent="0.3">
      <c r="B115" s="108" t="s">
        <v>1259</v>
      </c>
    </row>
    <row r="116" spans="2:8" x14ac:dyDescent="0.25">
      <c r="B116" s="659" t="s">
        <v>383</v>
      </c>
      <c r="C116" s="659" t="s">
        <v>998</v>
      </c>
      <c r="D116" s="659" t="s">
        <v>999</v>
      </c>
      <c r="E116" s="659" t="s">
        <v>130</v>
      </c>
      <c r="F116" s="659" t="s">
        <v>865</v>
      </c>
      <c r="G116" s="659" t="s">
        <v>1000</v>
      </c>
      <c r="H116" s="659" t="s">
        <v>593</v>
      </c>
    </row>
    <row r="117" spans="2:8" ht="15.75" thickBot="1" x14ac:dyDescent="0.3">
      <c r="B117" s="661"/>
      <c r="C117" s="661"/>
      <c r="D117" s="661"/>
      <c r="E117" s="661"/>
      <c r="F117" s="661"/>
      <c r="G117" s="661"/>
      <c r="H117" s="661"/>
    </row>
    <row r="118" spans="2:8" ht="15.75" thickBot="1" x14ac:dyDescent="0.3">
      <c r="B118" s="105">
        <v>1</v>
      </c>
      <c r="C118" s="102" t="s">
        <v>1070</v>
      </c>
      <c r="D118" s="102" t="s">
        <v>1070</v>
      </c>
      <c r="E118" s="102" t="s">
        <v>1070</v>
      </c>
      <c r="F118" s="109" t="s">
        <v>1070</v>
      </c>
      <c r="G118" s="102" t="s">
        <v>1070</v>
      </c>
      <c r="H118" s="102"/>
    </row>
    <row r="121" spans="2:8" ht="15.75" thickBot="1" x14ac:dyDescent="0.3">
      <c r="B121" s="108" t="s">
        <v>1001</v>
      </c>
    </row>
    <row r="122" spans="2:8" ht="29.25" customHeight="1" x14ac:dyDescent="0.25">
      <c r="B122" s="659" t="s">
        <v>383</v>
      </c>
      <c r="C122" s="723" t="s">
        <v>1002</v>
      </c>
      <c r="D122" s="723" t="s">
        <v>1003</v>
      </c>
      <c r="E122" s="723" t="s">
        <v>1004</v>
      </c>
      <c r="F122" s="723" t="s">
        <v>1005</v>
      </c>
    </row>
    <row r="123" spans="2:8" ht="15.75" thickBot="1" x14ac:dyDescent="0.3">
      <c r="B123" s="661"/>
      <c r="C123" s="724"/>
      <c r="D123" s="724"/>
      <c r="E123" s="724"/>
      <c r="F123" s="724"/>
    </row>
    <row r="124" spans="2:8" ht="15.75" thickBot="1" x14ac:dyDescent="0.3">
      <c r="B124" s="110">
        <v>1</v>
      </c>
      <c r="C124" s="102"/>
      <c r="D124" s="102"/>
      <c r="E124" s="102"/>
      <c r="F124" s="102" t="s">
        <v>1070</v>
      </c>
    </row>
    <row r="125" spans="2:8" ht="15.75" thickBot="1" x14ac:dyDescent="0.3">
      <c r="B125" s="105">
        <v>2</v>
      </c>
      <c r="C125" s="102"/>
      <c r="D125" s="102"/>
      <c r="E125" s="102"/>
      <c r="F125" s="102" t="s">
        <v>1070</v>
      </c>
    </row>
    <row r="128" spans="2:8" ht="15.75" thickBot="1" x14ac:dyDescent="0.3">
      <c r="B128" s="108" t="s">
        <v>1006</v>
      </c>
    </row>
    <row r="129" spans="2:5" ht="15.75" thickBot="1" x14ac:dyDescent="0.3">
      <c r="B129" s="99" t="s">
        <v>383</v>
      </c>
      <c r="C129" s="100" t="s">
        <v>868</v>
      </c>
      <c r="D129" s="100" t="s">
        <v>1007</v>
      </c>
      <c r="E129" s="100" t="s">
        <v>1005</v>
      </c>
    </row>
    <row r="130" spans="2:5" ht="15.75" thickBot="1" x14ac:dyDescent="0.3">
      <c r="B130" s="110">
        <v>1</v>
      </c>
      <c r="C130" s="111" t="str">
        <f>+'F4'!A33</f>
        <v>Diesel</v>
      </c>
      <c r="D130" s="112">
        <f>+'F4'!E33/12</f>
        <v>95000</v>
      </c>
      <c r="E130" s="106"/>
    </row>
    <row r="131" spans="2:5" ht="15.75" thickBot="1" x14ac:dyDescent="0.3">
      <c r="B131" s="110">
        <v>2</v>
      </c>
      <c r="C131" s="111" t="str">
        <f>+'F4'!A34</f>
        <v>Daily Labour</v>
      </c>
      <c r="D131" s="112">
        <f>+'F4'!E34/12</f>
        <v>12750</v>
      </c>
      <c r="E131" s="106"/>
    </row>
  </sheetData>
  <mergeCells count="41">
    <mergeCell ref="B16:B17"/>
    <mergeCell ref="C16:C17"/>
    <mergeCell ref="D16:D17"/>
    <mergeCell ref="B19:B20"/>
    <mergeCell ref="C19:C20"/>
    <mergeCell ref="D19:D20"/>
    <mergeCell ref="F60:F61"/>
    <mergeCell ref="B22:B23"/>
    <mergeCell ref="C22:C23"/>
    <mergeCell ref="D22:D23"/>
    <mergeCell ref="B51:B52"/>
    <mergeCell ref="C51:C52"/>
    <mergeCell ref="D51:D52"/>
    <mergeCell ref="E51:E52"/>
    <mergeCell ref="B60:B61"/>
    <mergeCell ref="C60:C61"/>
    <mergeCell ref="D60:D61"/>
    <mergeCell ref="E60:E61"/>
    <mergeCell ref="B85:B86"/>
    <mergeCell ref="C85:C86"/>
    <mergeCell ref="D85:D86"/>
    <mergeCell ref="E85:E86"/>
    <mergeCell ref="F85:F86"/>
    <mergeCell ref="G106:G107"/>
    <mergeCell ref="B116:B117"/>
    <mergeCell ref="C116:C117"/>
    <mergeCell ref="D116:D117"/>
    <mergeCell ref="E116:E117"/>
    <mergeCell ref="F116:F117"/>
    <mergeCell ref="G116:G117"/>
    <mergeCell ref="B106:B107"/>
    <mergeCell ref="C106:C107"/>
    <mergeCell ref="D106:D107"/>
    <mergeCell ref="E106:E107"/>
    <mergeCell ref="F106:F107"/>
    <mergeCell ref="H116:H117"/>
    <mergeCell ref="B122:B123"/>
    <mergeCell ref="C122:C123"/>
    <mergeCell ref="D122:D123"/>
    <mergeCell ref="E122:E123"/>
    <mergeCell ref="F122:F123"/>
  </mergeCells>
  <pageMargins left="0.32" right="0.21" top="0.22" bottom="0.24" header="0.17" footer="0.17"/>
  <pageSetup paperSize="9"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4"/>
  <sheetViews>
    <sheetView topLeftCell="B1" zoomScale="145" zoomScaleNormal="145" workbookViewId="0">
      <selection activeCell="B8" sqref="B8:M8"/>
    </sheetView>
  </sheetViews>
  <sheetFormatPr defaultColWidth="8.7109375" defaultRowHeight="15" x14ac:dyDescent="0.25"/>
  <cols>
    <col min="1" max="1" width="6.7109375" style="192" customWidth="1"/>
    <col min="2" max="2" width="8.140625" style="192" customWidth="1"/>
    <col min="3" max="3" width="17.42578125" style="192" customWidth="1"/>
    <col min="4" max="4" width="16.5703125" style="192" bestFit="1" customWidth="1"/>
    <col min="5" max="5" width="8.5703125" style="192" bestFit="1" customWidth="1"/>
    <col min="6" max="16384" width="8.7109375" style="192"/>
  </cols>
  <sheetData>
    <row r="2" spans="2:13" ht="14.45" x14ac:dyDescent="0.35">
      <c r="B2" s="91" t="s">
        <v>1008</v>
      </c>
    </row>
    <row r="3" spans="2:13" ht="14.45" x14ac:dyDescent="0.35">
      <c r="B3" s="323" t="s">
        <v>1009</v>
      </c>
      <c r="C3" s="324"/>
      <c r="D3" s="324"/>
      <c r="E3" s="324"/>
      <c r="F3" s="324"/>
      <c r="G3" s="324"/>
      <c r="H3" s="324"/>
      <c r="I3" s="324"/>
      <c r="J3" s="324"/>
      <c r="K3" s="324"/>
      <c r="L3" s="324"/>
      <c r="M3" s="324"/>
    </row>
    <row r="4" spans="2:13" ht="45" x14ac:dyDescent="0.25">
      <c r="B4" s="730" t="s">
        <v>1010</v>
      </c>
      <c r="C4" s="732" t="s">
        <v>1011</v>
      </c>
      <c r="D4" s="730" t="s">
        <v>1012</v>
      </c>
      <c r="E4" s="734" t="s">
        <v>1013</v>
      </c>
      <c r="F4" s="735"/>
      <c r="G4" s="736"/>
      <c r="H4" s="730" t="s">
        <v>1014</v>
      </c>
      <c r="I4" s="730" t="s">
        <v>1015</v>
      </c>
      <c r="J4" s="730" t="s">
        <v>1016</v>
      </c>
      <c r="K4" s="92" t="s">
        <v>1017</v>
      </c>
      <c r="L4" s="740" t="s">
        <v>1018</v>
      </c>
      <c r="M4" s="730" t="s">
        <v>1019</v>
      </c>
    </row>
    <row r="5" spans="2:13" ht="30.75" thickBot="1" x14ac:dyDescent="0.3">
      <c r="B5" s="730"/>
      <c r="C5" s="732"/>
      <c r="D5" s="730"/>
      <c r="E5" s="737"/>
      <c r="F5" s="738"/>
      <c r="G5" s="739"/>
      <c r="H5" s="730"/>
      <c r="I5" s="730"/>
      <c r="J5" s="730"/>
      <c r="K5" s="92" t="s">
        <v>1020</v>
      </c>
      <c r="L5" s="740"/>
      <c r="M5" s="730"/>
    </row>
    <row r="6" spans="2:13" ht="45.75" thickBot="1" x14ac:dyDescent="0.3">
      <c r="B6" s="731"/>
      <c r="C6" s="733"/>
      <c r="D6" s="731"/>
      <c r="E6" s="93" t="s">
        <v>1021</v>
      </c>
      <c r="F6" s="93" t="s">
        <v>284</v>
      </c>
      <c r="G6" s="93" t="s">
        <v>1022</v>
      </c>
      <c r="H6" s="731"/>
      <c r="I6" s="731"/>
      <c r="J6" s="731"/>
      <c r="K6" s="93" t="s">
        <v>1023</v>
      </c>
      <c r="L6" s="741"/>
      <c r="M6" s="731"/>
    </row>
    <row r="7" spans="2:13" thickBot="1" x14ac:dyDescent="0.4">
      <c r="B7" s="94">
        <v>1</v>
      </c>
      <c r="C7" s="92">
        <v>2</v>
      </c>
      <c r="D7" s="92">
        <v>3</v>
      </c>
      <c r="E7" s="95">
        <v>4</v>
      </c>
      <c r="F7" s="95">
        <v>5</v>
      </c>
      <c r="G7" s="92">
        <v>6</v>
      </c>
      <c r="H7" s="92">
        <v>7</v>
      </c>
      <c r="I7" s="92">
        <v>8</v>
      </c>
      <c r="J7" s="92">
        <v>9</v>
      </c>
      <c r="K7" s="92">
        <v>10</v>
      </c>
      <c r="L7" s="92">
        <v>11</v>
      </c>
      <c r="M7" s="92">
        <v>12</v>
      </c>
    </row>
    <row r="8" spans="2:13" thickBot="1" x14ac:dyDescent="0.4">
      <c r="B8" s="727" t="s">
        <v>1024</v>
      </c>
      <c r="C8" s="728"/>
      <c r="D8" s="728"/>
      <c r="E8" s="728"/>
      <c r="F8" s="728"/>
      <c r="G8" s="728"/>
      <c r="H8" s="728"/>
      <c r="I8" s="728"/>
      <c r="J8" s="728"/>
      <c r="K8" s="728"/>
      <c r="L8" s="728"/>
      <c r="M8" s="729"/>
    </row>
    <row r="9" spans="2:13" thickBot="1" x14ac:dyDescent="0.4">
      <c r="B9" s="96">
        <v>1</v>
      </c>
      <c r="C9" s="97" t="str">
        <f>+Capex!C6</f>
        <v>WARESHOUSE - 350 MT</v>
      </c>
      <c r="D9" s="97"/>
      <c r="E9" s="97"/>
      <c r="F9" s="97"/>
      <c r="G9" s="97">
        <f>+L9</f>
        <v>2360000</v>
      </c>
      <c r="H9" s="97" t="s">
        <v>1095</v>
      </c>
      <c r="I9" s="97"/>
      <c r="J9" s="97" t="s">
        <v>1074</v>
      </c>
      <c r="K9" s="97" t="s">
        <v>1074</v>
      </c>
      <c r="L9" s="97">
        <f>+Capex!G6</f>
        <v>2360000</v>
      </c>
      <c r="M9" s="97"/>
    </row>
    <row r="10" spans="2:13" thickBot="1" x14ac:dyDescent="0.4">
      <c r="B10" s="96">
        <v>2</v>
      </c>
      <c r="C10" s="97">
        <f>+Capex!C7</f>
        <v>0</v>
      </c>
      <c r="D10" s="97"/>
      <c r="E10" s="97"/>
      <c r="F10" s="97"/>
      <c r="G10" s="97">
        <f>+L10</f>
        <v>0</v>
      </c>
      <c r="H10" s="97" t="s">
        <v>1095</v>
      </c>
      <c r="I10" s="97"/>
      <c r="J10" s="97" t="s">
        <v>1074</v>
      </c>
      <c r="K10" s="97" t="s">
        <v>1074</v>
      </c>
      <c r="L10" s="97">
        <f>+Capex!G7</f>
        <v>0</v>
      </c>
      <c r="M10" s="97"/>
    </row>
    <row r="11" spans="2:13" thickBot="1" x14ac:dyDescent="0.4">
      <c r="B11" s="96"/>
      <c r="C11" s="97"/>
      <c r="D11" s="97"/>
      <c r="E11" s="97"/>
      <c r="F11" s="97"/>
      <c r="G11" s="97"/>
      <c r="H11" s="97"/>
      <c r="I11" s="97"/>
      <c r="J11" s="97"/>
      <c r="K11" s="97"/>
      <c r="L11" s="97"/>
      <c r="M11" s="97"/>
    </row>
    <row r="12" spans="2:13" thickBot="1" x14ac:dyDescent="0.4">
      <c r="B12" s="96"/>
      <c r="C12" s="98" t="s">
        <v>1094</v>
      </c>
      <c r="D12" s="97"/>
      <c r="E12" s="97"/>
      <c r="F12" s="97"/>
      <c r="G12" s="97"/>
      <c r="H12" s="97"/>
      <c r="I12" s="97"/>
      <c r="J12" s="97"/>
      <c r="K12" s="97"/>
      <c r="L12" s="97"/>
      <c r="M12" s="97"/>
    </row>
    <row r="13" spans="2:13" ht="15.75" thickBot="1" x14ac:dyDescent="0.3">
      <c r="B13" s="96"/>
      <c r="C13" s="97"/>
      <c r="D13" s="97"/>
      <c r="E13" s="97"/>
      <c r="F13" s="97"/>
      <c r="G13" s="97"/>
      <c r="H13" s="97"/>
      <c r="I13" s="97"/>
      <c r="J13" s="97"/>
      <c r="K13" s="97"/>
      <c r="L13" s="97"/>
      <c r="M13" s="97"/>
    </row>
    <row r="14" spans="2:13" ht="15.75" thickBot="1" x14ac:dyDescent="0.3">
      <c r="B14" s="727" t="s">
        <v>1025</v>
      </c>
      <c r="C14" s="728"/>
      <c r="D14" s="728"/>
      <c r="E14" s="728"/>
      <c r="F14" s="728"/>
      <c r="G14" s="728"/>
      <c r="H14" s="728"/>
      <c r="I14" s="728"/>
      <c r="J14" s="728"/>
      <c r="K14" s="728"/>
      <c r="L14" s="728"/>
      <c r="M14" s="729"/>
    </row>
    <row r="15" spans="2:13" ht="15.75" thickBot="1" x14ac:dyDescent="0.3">
      <c r="B15" s="96">
        <v>1</v>
      </c>
      <c r="C15" s="97" t="str">
        <f>+'Cost MOF'!C6</f>
        <v>Machinery and Equipment</v>
      </c>
      <c r="D15" s="97"/>
      <c r="E15" s="97"/>
      <c r="F15" s="97"/>
      <c r="G15" s="97">
        <f>+'Cost MOF'!D6</f>
        <v>8612700</v>
      </c>
      <c r="H15" s="97"/>
      <c r="I15" s="97"/>
      <c r="J15" s="97" t="s">
        <v>1074</v>
      </c>
      <c r="K15" s="97" t="s">
        <v>1074</v>
      </c>
      <c r="L15" s="97">
        <f>+G15</f>
        <v>8612700</v>
      </c>
      <c r="M15" s="97"/>
    </row>
    <row r="16" spans="2:13" ht="15.75" thickBot="1" x14ac:dyDescent="0.3">
      <c r="B16" s="96">
        <v>2</v>
      </c>
      <c r="C16" s="97" t="str">
        <f>+'Cost MOF'!C7</f>
        <v>Furniture and Fixture</v>
      </c>
      <c r="D16" s="97"/>
      <c r="E16" s="97"/>
      <c r="F16" s="97"/>
      <c r="G16" s="97">
        <f>+'Cost MOF'!D7</f>
        <v>300400</v>
      </c>
      <c r="H16" s="97"/>
      <c r="I16" s="97"/>
      <c r="J16" s="97" t="s">
        <v>1074</v>
      </c>
      <c r="K16" s="97" t="s">
        <v>1074</v>
      </c>
      <c r="L16" s="97">
        <f>+G16</f>
        <v>300400</v>
      </c>
      <c r="M16" s="97"/>
    </row>
    <row r="17" spans="2:13" ht="15.75" thickBot="1" x14ac:dyDescent="0.3">
      <c r="B17" s="96">
        <v>3</v>
      </c>
      <c r="C17" s="97" t="str">
        <f>+'Cost MOF'!C8</f>
        <v>IT &amp; IT Infrastracture</v>
      </c>
      <c r="D17" s="97"/>
      <c r="E17" s="97"/>
      <c r="F17" s="97"/>
      <c r="G17" s="97">
        <f>+'Cost MOF'!D8</f>
        <v>179500</v>
      </c>
      <c r="H17" s="97"/>
      <c r="I17" s="97"/>
      <c r="J17" s="97" t="s">
        <v>1074</v>
      </c>
      <c r="K17" s="97" t="s">
        <v>1074</v>
      </c>
      <c r="L17" s="97">
        <f t="shared" ref="L17:L18" si="0">+G17</f>
        <v>179500</v>
      </c>
      <c r="M17" s="97"/>
    </row>
    <row r="18" spans="2:13" ht="15.75" thickBot="1" x14ac:dyDescent="0.3">
      <c r="B18" s="96">
        <v>4</v>
      </c>
      <c r="C18" s="97" t="str">
        <f>+'Cost MOF'!C9</f>
        <v>Transport Vehical  (Refer van and other)</v>
      </c>
      <c r="D18" s="97"/>
      <c r="E18" s="97"/>
      <c r="F18" s="97"/>
      <c r="G18" s="97">
        <f>+'Cost MOF'!D9</f>
        <v>944938</v>
      </c>
      <c r="H18" s="97"/>
      <c r="I18" s="97"/>
      <c r="J18" s="97" t="s">
        <v>1074</v>
      </c>
      <c r="K18" s="97" t="s">
        <v>1074</v>
      </c>
      <c r="L18" s="97">
        <f t="shared" si="0"/>
        <v>944938</v>
      </c>
      <c r="M18" s="97"/>
    </row>
    <row r="19" spans="2:13" ht="15.75" thickBot="1" x14ac:dyDescent="0.3">
      <c r="B19" s="96"/>
      <c r="C19" s="98" t="s">
        <v>1096</v>
      </c>
      <c r="D19" s="97"/>
      <c r="E19" s="97"/>
      <c r="F19" s="97"/>
      <c r="G19" s="97"/>
      <c r="H19" s="97"/>
      <c r="I19" s="97"/>
      <c r="J19" s="97"/>
      <c r="K19" s="97"/>
      <c r="L19" s="97"/>
      <c r="M19" s="97"/>
    </row>
    <row r="20" spans="2:13" ht="15.75" thickBot="1" x14ac:dyDescent="0.3">
      <c r="B20" s="96"/>
      <c r="C20" s="97"/>
      <c r="D20" s="97"/>
      <c r="E20" s="97"/>
      <c r="F20" s="97"/>
      <c r="G20" s="97"/>
      <c r="H20" s="97"/>
      <c r="I20" s="97"/>
      <c r="J20" s="97"/>
      <c r="K20" s="97"/>
      <c r="L20" s="97"/>
      <c r="M20" s="97"/>
    </row>
    <row r="21" spans="2:13" ht="15.75" thickBot="1" x14ac:dyDescent="0.3">
      <c r="B21" s="727" t="s">
        <v>1026</v>
      </c>
      <c r="C21" s="728"/>
      <c r="D21" s="728"/>
      <c r="E21" s="728"/>
      <c r="F21" s="728"/>
      <c r="G21" s="728"/>
      <c r="H21" s="728"/>
      <c r="I21" s="728"/>
      <c r="J21" s="728"/>
      <c r="K21" s="728"/>
      <c r="L21" s="728"/>
      <c r="M21" s="729"/>
    </row>
    <row r="22" spans="2:13" ht="15.75" thickBot="1" x14ac:dyDescent="0.3">
      <c r="B22" s="96">
        <v>1</v>
      </c>
      <c r="C22" s="97" t="s">
        <v>1097</v>
      </c>
      <c r="D22" s="97"/>
      <c r="E22" s="97"/>
      <c r="F22" s="97"/>
      <c r="G22" s="97"/>
      <c r="H22" s="97"/>
      <c r="I22" s="97"/>
      <c r="J22" s="97"/>
      <c r="K22" s="97"/>
      <c r="L22" s="97"/>
      <c r="M22" s="97"/>
    </row>
    <row r="23" spans="2:13" ht="15.75" thickBot="1" x14ac:dyDescent="0.3">
      <c r="B23" s="96"/>
      <c r="C23" s="97" t="s">
        <v>1098</v>
      </c>
      <c r="D23" s="97"/>
      <c r="E23" s="97"/>
      <c r="F23" s="97"/>
      <c r="G23" s="97"/>
      <c r="H23" s="97"/>
      <c r="I23" s="97"/>
      <c r="J23" s="97"/>
      <c r="K23" s="97"/>
      <c r="L23" s="97"/>
      <c r="M23" s="97"/>
    </row>
    <row r="24" spans="2:13" ht="15.75" thickBot="1" x14ac:dyDescent="0.3">
      <c r="B24" s="96"/>
      <c r="C24" s="97"/>
      <c r="D24" s="97"/>
      <c r="E24" s="97"/>
      <c r="F24" s="97"/>
      <c r="G24" s="97"/>
      <c r="H24" s="97"/>
      <c r="I24" s="97"/>
      <c r="J24" s="97"/>
      <c r="K24" s="97"/>
      <c r="L24" s="97"/>
      <c r="M24" s="97"/>
    </row>
  </sheetData>
  <mergeCells count="12">
    <mergeCell ref="B21:M21"/>
    <mergeCell ref="B4:B6"/>
    <mergeCell ref="C4:C6"/>
    <mergeCell ref="D4:D6"/>
    <mergeCell ref="E4:G5"/>
    <mergeCell ref="H4:H6"/>
    <mergeCell ref="I4:I6"/>
    <mergeCell ref="J4:J6"/>
    <mergeCell ref="L4:L6"/>
    <mergeCell ref="M4:M6"/>
    <mergeCell ref="B8:M8"/>
    <mergeCell ref="B14:M14"/>
  </mergeCells>
  <pageMargins left="0.45"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0"/>
  <sheetViews>
    <sheetView topLeftCell="A4" zoomScale="145" zoomScaleNormal="145" workbookViewId="0">
      <selection activeCell="B8" sqref="B8"/>
    </sheetView>
  </sheetViews>
  <sheetFormatPr defaultColWidth="8.7109375" defaultRowHeight="15" x14ac:dyDescent="0.25"/>
  <cols>
    <col min="1" max="1" width="8.7109375" style="192"/>
    <col min="2" max="2" width="25.7109375" style="192" bestFit="1" customWidth="1"/>
    <col min="3" max="3" width="8.7109375" style="192"/>
    <col min="4" max="4" width="11.5703125" style="192" bestFit="1" customWidth="1"/>
    <col min="5" max="5" width="14.5703125" style="192" bestFit="1" customWidth="1"/>
    <col min="6" max="16384" width="8.7109375" style="192"/>
  </cols>
  <sheetData>
    <row r="3" spans="2:5" ht="14.45" x14ac:dyDescent="0.35">
      <c r="B3" s="192" t="s">
        <v>1212</v>
      </c>
    </row>
    <row r="6" spans="2:5" ht="14.45" x14ac:dyDescent="0.35">
      <c r="B6" s="314" t="s">
        <v>0</v>
      </c>
      <c r="C6" s="314" t="s">
        <v>1202</v>
      </c>
      <c r="D6" s="227" t="s">
        <v>149</v>
      </c>
      <c r="E6" s="227" t="s">
        <v>1203</v>
      </c>
    </row>
    <row r="7" spans="2:5" ht="14.45" x14ac:dyDescent="0.35">
      <c r="B7" s="315" t="s">
        <v>316</v>
      </c>
      <c r="C7" s="315">
        <f>+'F2'!B190</f>
        <v>10</v>
      </c>
      <c r="D7" s="316">
        <f>+'F2'!C190</f>
        <v>300</v>
      </c>
      <c r="E7" s="317">
        <v>290136.84000000003</v>
      </c>
    </row>
    <row r="8" spans="2:5" ht="14.45" x14ac:dyDescent="0.35">
      <c r="B8" s="315" t="s">
        <v>140</v>
      </c>
      <c r="C8" s="315">
        <f>+'F2'!B191</f>
        <v>53.712000000000003</v>
      </c>
      <c r="D8" s="316">
        <f>+'F2'!C191</f>
        <v>8</v>
      </c>
      <c r="E8" s="317">
        <v>247362.38015999997</v>
      </c>
    </row>
    <row r="9" spans="2:5" ht="14.45" x14ac:dyDescent="0.35">
      <c r="B9" s="315" t="s">
        <v>290</v>
      </c>
      <c r="C9" s="315">
        <f>+'F2'!B192</f>
        <v>0</v>
      </c>
      <c r="D9" s="316">
        <f>+'F2'!C192</f>
        <v>12</v>
      </c>
      <c r="E9" s="317">
        <v>198950.976</v>
      </c>
    </row>
    <row r="10" spans="2:5" ht="14.45" x14ac:dyDescent="0.35">
      <c r="B10" s="315" t="s">
        <v>708</v>
      </c>
      <c r="C10" s="315">
        <f>+'F2'!B193</f>
        <v>0</v>
      </c>
      <c r="D10" s="316">
        <f>+'F2'!C193</f>
        <v>5</v>
      </c>
      <c r="E10" s="317">
        <v>1657924.8</v>
      </c>
    </row>
    <row r="11" spans="2:5" ht="14.45" x14ac:dyDescent="0.35">
      <c r="B11" s="315" t="s">
        <v>292</v>
      </c>
      <c r="C11" s="318">
        <f>+'F2'!B194</f>
        <v>0</v>
      </c>
      <c r="D11" s="319">
        <f>+'F2'!C194</f>
        <v>20</v>
      </c>
      <c r="E11" s="320">
        <v>331584.95999999996</v>
      </c>
    </row>
    <row r="12" spans="2:5" ht="14.45" x14ac:dyDescent="0.35">
      <c r="B12" s="315"/>
      <c r="C12" s="315"/>
      <c r="D12" s="316" t="s">
        <v>873</v>
      </c>
      <c r="E12" s="321">
        <f>SUM(E7:E11)</f>
        <v>2725959.9561600001</v>
      </c>
    </row>
    <row r="13" spans="2:5" ht="14.45" x14ac:dyDescent="0.35">
      <c r="B13" s="315"/>
      <c r="C13" s="315"/>
      <c r="D13" s="316"/>
      <c r="E13" s="317"/>
    </row>
    <row r="14" spans="2:5" ht="14.45" x14ac:dyDescent="0.35">
      <c r="B14" s="315" t="s">
        <v>1206</v>
      </c>
      <c r="C14" s="315"/>
      <c r="D14" s="316"/>
      <c r="E14" s="317">
        <f>+C18</f>
        <v>40439.710080000012</v>
      </c>
    </row>
    <row r="15" spans="2:5" ht="14.45" x14ac:dyDescent="0.35">
      <c r="B15" s="315"/>
      <c r="C15" s="315"/>
      <c r="D15" s="316" t="s">
        <v>1205</v>
      </c>
      <c r="E15" s="317">
        <f>+E12/C18</f>
        <v>67.407999482868675</v>
      </c>
    </row>
    <row r="16" spans="2:5" ht="14.45" x14ac:dyDescent="0.35">
      <c r="B16" s="315"/>
      <c r="C16" s="315"/>
      <c r="D16" s="316" t="s">
        <v>1211</v>
      </c>
      <c r="E16" s="317">
        <f>+E15/100</f>
        <v>0.67407999482868675</v>
      </c>
    </row>
    <row r="17" spans="2:5" ht="14.45" x14ac:dyDescent="0.35">
      <c r="B17" s="315"/>
      <c r="C17" s="315"/>
      <c r="D17" s="316"/>
      <c r="E17" s="317"/>
    </row>
    <row r="18" spans="2:5" x14ac:dyDescent="0.25">
      <c r="B18" s="315" t="s">
        <v>1204</v>
      </c>
      <c r="C18" s="315">
        <f>+E18/D18</f>
        <v>40439.710080000012</v>
      </c>
      <c r="D18" s="316">
        <f>+'F2'!C172</f>
        <v>150</v>
      </c>
      <c r="E18" s="317">
        <f>+'F2'!D172</f>
        <v>6065956.512000002</v>
      </c>
    </row>
    <row r="19" spans="2:5" x14ac:dyDescent="0.25">
      <c r="B19" s="318"/>
      <c r="C19" s="318"/>
      <c r="D19" s="319"/>
      <c r="E19" s="320"/>
    </row>
    <row r="20" spans="2:5" x14ac:dyDescent="0.25">
      <c r="E20" s="322"/>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0"/>
  <sheetViews>
    <sheetView tabSelected="1" view="pageBreakPreview" zoomScale="85" zoomScaleSheetLayoutView="85" workbookViewId="0">
      <selection activeCell="A100" sqref="A100:H100"/>
    </sheetView>
  </sheetViews>
  <sheetFormatPr defaultColWidth="8.7109375" defaultRowHeight="15" x14ac:dyDescent="0.25"/>
  <cols>
    <col min="1" max="1" width="41.28515625" style="192" customWidth="1"/>
    <col min="2" max="2" width="9.7109375" style="192" bestFit="1" customWidth="1"/>
    <col min="3" max="3" width="13.42578125" style="192" bestFit="1" customWidth="1"/>
    <col min="4" max="4" width="13.42578125" style="192" customWidth="1"/>
    <col min="5" max="5" width="14.85546875" style="192" customWidth="1"/>
    <col min="6" max="7" width="14.7109375" style="192" bestFit="1" customWidth="1"/>
    <col min="8" max="8" width="14.85546875" style="192" bestFit="1" customWidth="1"/>
    <col min="9" max="9" width="14.85546875" style="192" customWidth="1"/>
    <col min="10" max="10" width="14.7109375" style="192" bestFit="1" customWidth="1"/>
    <col min="11" max="11" width="14.85546875" style="192" customWidth="1"/>
    <col min="12" max="17" width="12.7109375" style="192" bestFit="1" customWidth="1"/>
    <col min="18" max="16384" width="8.7109375" style="192"/>
  </cols>
  <sheetData>
    <row r="2" spans="1:11" ht="14.45" x14ac:dyDescent="0.35">
      <c r="A2" s="563" t="s">
        <v>538</v>
      </c>
      <c r="B2" s="563"/>
      <c r="C2" s="563"/>
      <c r="D2" s="563"/>
      <c r="E2" s="563"/>
      <c r="F2" s="563"/>
      <c r="G2" s="563"/>
      <c r="H2" s="563"/>
      <c r="I2" s="563"/>
      <c r="J2" s="563"/>
      <c r="K2" s="563"/>
    </row>
    <row r="4" spans="1:11" ht="14.45" x14ac:dyDescent="0.35">
      <c r="E4" s="346">
        <v>1</v>
      </c>
      <c r="F4" s="344">
        <f>(E4*5%)+E4</f>
        <v>1.05</v>
      </c>
      <c r="G4" s="344">
        <f t="shared" ref="G4:K4" si="0">(F4*5%)+F4</f>
        <v>1.1025</v>
      </c>
      <c r="H4" s="344">
        <f t="shared" si="0"/>
        <v>1.1576250000000001</v>
      </c>
      <c r="I4" s="344">
        <f t="shared" si="0"/>
        <v>1.2155062500000002</v>
      </c>
      <c r="J4" s="344">
        <f t="shared" si="0"/>
        <v>1.2762815625000004</v>
      </c>
      <c r="K4" s="344">
        <f t="shared" si="0"/>
        <v>1.3400956406250004</v>
      </c>
    </row>
    <row r="6" spans="1:11" ht="14.45" x14ac:dyDescent="0.35">
      <c r="A6" s="363" t="s">
        <v>0</v>
      </c>
      <c r="B6" s="363" t="s">
        <v>130</v>
      </c>
      <c r="C6" s="363" t="s">
        <v>382</v>
      </c>
      <c r="D6" s="363" t="s">
        <v>284</v>
      </c>
      <c r="E6" s="364" t="s">
        <v>2</v>
      </c>
      <c r="F6" s="364" t="s">
        <v>3</v>
      </c>
      <c r="G6" s="364" t="s">
        <v>4</v>
      </c>
      <c r="H6" s="364" t="s">
        <v>5</v>
      </c>
      <c r="I6" s="364" t="s">
        <v>6</v>
      </c>
      <c r="J6" s="364" t="s">
        <v>165</v>
      </c>
      <c r="K6" s="364" t="s">
        <v>164</v>
      </c>
    </row>
    <row r="7" spans="1:11" ht="14.45" x14ac:dyDescent="0.35">
      <c r="A7" s="312"/>
      <c r="B7" s="312"/>
      <c r="C7" s="312"/>
      <c r="D7" s="312"/>
      <c r="E7" s="312"/>
      <c r="F7" s="312"/>
      <c r="G7" s="312"/>
      <c r="H7" s="312"/>
      <c r="I7" s="312"/>
      <c r="J7" s="312"/>
      <c r="K7" s="312"/>
    </row>
    <row r="8" spans="1:11" ht="14.45" x14ac:dyDescent="0.35">
      <c r="A8" s="312" t="s">
        <v>325</v>
      </c>
      <c r="B8" s="312" t="s">
        <v>383</v>
      </c>
      <c r="C8" s="359">
        <v>1</v>
      </c>
      <c r="D8" s="381">
        <v>30000</v>
      </c>
      <c r="E8" s="340">
        <f>$C8*$D8*12*E$4</f>
        <v>360000</v>
      </c>
      <c r="F8" s="340">
        <f t="shared" ref="F8:K8" si="1">$C8*$D8*12*F$4</f>
        <v>378000</v>
      </c>
      <c r="G8" s="340">
        <f t="shared" si="1"/>
        <v>396900</v>
      </c>
      <c r="H8" s="340">
        <f t="shared" si="1"/>
        <v>416745.00000000006</v>
      </c>
      <c r="I8" s="340">
        <f t="shared" si="1"/>
        <v>437582.25000000006</v>
      </c>
      <c r="J8" s="340">
        <f t="shared" si="1"/>
        <v>459461.3625000001</v>
      </c>
      <c r="K8" s="340">
        <f t="shared" si="1"/>
        <v>482434.43062500015</v>
      </c>
    </row>
    <row r="9" spans="1:11" ht="14.45" x14ac:dyDescent="0.35">
      <c r="A9" s="312" t="s">
        <v>185</v>
      </c>
      <c r="B9" s="312" t="s">
        <v>383</v>
      </c>
      <c r="C9" s="359">
        <v>1</v>
      </c>
      <c r="D9" s="381">
        <v>12000</v>
      </c>
      <c r="E9" s="340">
        <f>$C9*$D9*12*E$4</f>
        <v>144000</v>
      </c>
      <c r="F9" s="340">
        <f t="shared" ref="F9:K11" si="2">$C9*$D9*12*F$4</f>
        <v>151200</v>
      </c>
      <c r="G9" s="340">
        <f t="shared" si="2"/>
        <v>158760</v>
      </c>
      <c r="H9" s="340">
        <f t="shared" si="2"/>
        <v>166698.00000000003</v>
      </c>
      <c r="I9" s="340">
        <f t="shared" si="2"/>
        <v>175032.90000000002</v>
      </c>
      <c r="J9" s="340">
        <f t="shared" si="2"/>
        <v>183784.54500000004</v>
      </c>
      <c r="K9" s="340">
        <f t="shared" si="2"/>
        <v>192973.77225000007</v>
      </c>
    </row>
    <row r="10" spans="1:11" ht="14.45" x14ac:dyDescent="0.35">
      <c r="A10" s="312" t="s">
        <v>189</v>
      </c>
      <c r="B10" s="312" t="s">
        <v>383</v>
      </c>
      <c r="C10" s="359">
        <v>2</v>
      </c>
      <c r="D10" s="381">
        <v>10000</v>
      </c>
      <c r="E10" s="340">
        <f>$C10*$D10*12*E$4</f>
        <v>240000</v>
      </c>
      <c r="F10" s="340">
        <f t="shared" si="2"/>
        <v>252000</v>
      </c>
      <c r="G10" s="340">
        <f t="shared" si="2"/>
        <v>264600</v>
      </c>
      <c r="H10" s="340">
        <f t="shared" si="2"/>
        <v>277830.00000000006</v>
      </c>
      <c r="I10" s="340">
        <f t="shared" si="2"/>
        <v>291721.50000000006</v>
      </c>
      <c r="J10" s="340">
        <f t="shared" si="2"/>
        <v>306307.57500000007</v>
      </c>
      <c r="K10" s="340">
        <f t="shared" si="2"/>
        <v>321622.9537500001</v>
      </c>
    </row>
    <row r="11" spans="1:11" ht="14.45" x14ac:dyDescent="0.35">
      <c r="A11" s="312" t="s">
        <v>1306</v>
      </c>
      <c r="B11" s="312" t="s">
        <v>383</v>
      </c>
      <c r="C11" s="359">
        <v>5</v>
      </c>
      <c r="D11" s="381">
        <v>12000</v>
      </c>
      <c r="E11" s="340">
        <f>$C11*$D11*12*E$4</f>
        <v>720000</v>
      </c>
      <c r="F11" s="340">
        <f t="shared" si="2"/>
        <v>756000</v>
      </c>
      <c r="G11" s="340">
        <f t="shared" si="2"/>
        <v>793800</v>
      </c>
      <c r="H11" s="340">
        <f t="shared" si="2"/>
        <v>833490.00000000012</v>
      </c>
      <c r="I11" s="340">
        <f t="shared" si="2"/>
        <v>875164.50000000012</v>
      </c>
      <c r="J11" s="340">
        <f t="shared" si="2"/>
        <v>918922.72500000021</v>
      </c>
      <c r="K11" s="340">
        <f t="shared" si="2"/>
        <v>964868.86125000031</v>
      </c>
    </row>
    <row r="12" spans="1:11" ht="14.45" x14ac:dyDescent="0.35">
      <c r="A12" s="312" t="s">
        <v>129</v>
      </c>
      <c r="B12" s="312" t="s">
        <v>384</v>
      </c>
      <c r="C12" s="312">
        <v>12</v>
      </c>
      <c r="D12" s="381">
        <v>2000</v>
      </c>
      <c r="E12" s="340">
        <f>$C12*$D12*E$4</f>
        <v>24000</v>
      </c>
      <c r="F12" s="340">
        <f t="shared" ref="F12:K16" si="3">$C12*$D12*F$4</f>
        <v>25200</v>
      </c>
      <c r="G12" s="340">
        <f t="shared" si="3"/>
        <v>26460</v>
      </c>
      <c r="H12" s="340">
        <f t="shared" si="3"/>
        <v>27783.000000000004</v>
      </c>
      <c r="I12" s="340">
        <f t="shared" si="3"/>
        <v>29172.150000000005</v>
      </c>
      <c r="J12" s="340">
        <f t="shared" si="3"/>
        <v>30630.757500000007</v>
      </c>
      <c r="K12" s="340">
        <f t="shared" si="3"/>
        <v>32162.295375000009</v>
      </c>
    </row>
    <row r="13" spans="1:11" ht="14.45" x14ac:dyDescent="0.35">
      <c r="A13" s="312" t="s">
        <v>10</v>
      </c>
      <c r="B13" s="312" t="s">
        <v>384</v>
      </c>
      <c r="C13" s="312">
        <v>12</v>
      </c>
      <c r="D13" s="381">
        <v>2000</v>
      </c>
      <c r="E13" s="340">
        <f t="shared" ref="E13:E16" si="4">$C13*$D13*E$4</f>
        <v>24000</v>
      </c>
      <c r="F13" s="340">
        <f t="shared" si="3"/>
        <v>25200</v>
      </c>
      <c r="G13" s="340">
        <f t="shared" si="3"/>
        <v>26460</v>
      </c>
      <c r="H13" s="340">
        <f t="shared" si="3"/>
        <v>27783.000000000004</v>
      </c>
      <c r="I13" s="340">
        <f t="shared" si="3"/>
        <v>29172.150000000005</v>
      </c>
      <c r="J13" s="340">
        <f t="shared" si="3"/>
        <v>30630.757500000007</v>
      </c>
      <c r="K13" s="340">
        <f t="shared" si="3"/>
        <v>32162.295375000009</v>
      </c>
    </row>
    <row r="14" spans="1:11" ht="14.45" x14ac:dyDescent="0.35">
      <c r="A14" s="312" t="s">
        <v>186</v>
      </c>
      <c r="B14" s="312" t="s">
        <v>384</v>
      </c>
      <c r="C14" s="312">
        <v>12</v>
      </c>
      <c r="D14" s="381">
        <v>1000</v>
      </c>
      <c r="E14" s="340">
        <f t="shared" si="4"/>
        <v>12000</v>
      </c>
      <c r="F14" s="340">
        <f t="shared" si="3"/>
        <v>12600</v>
      </c>
      <c r="G14" s="340">
        <f t="shared" si="3"/>
        <v>13230</v>
      </c>
      <c r="H14" s="340">
        <f t="shared" si="3"/>
        <v>13891.500000000002</v>
      </c>
      <c r="I14" s="340">
        <f t="shared" si="3"/>
        <v>14586.075000000003</v>
      </c>
      <c r="J14" s="340">
        <f t="shared" si="3"/>
        <v>15315.378750000003</v>
      </c>
      <c r="K14" s="340">
        <f t="shared" si="3"/>
        <v>16081.147687500004</v>
      </c>
    </row>
    <row r="15" spans="1:11" ht="14.45" x14ac:dyDescent="0.35">
      <c r="A15" s="312" t="s">
        <v>156</v>
      </c>
      <c r="B15" s="312" t="s">
        <v>384</v>
      </c>
      <c r="C15" s="312">
        <v>12</v>
      </c>
      <c r="D15" s="381">
        <v>3000</v>
      </c>
      <c r="E15" s="340">
        <f t="shared" si="4"/>
        <v>36000</v>
      </c>
      <c r="F15" s="340">
        <f t="shared" si="3"/>
        <v>37800</v>
      </c>
      <c r="G15" s="340">
        <f t="shared" si="3"/>
        <v>39690</v>
      </c>
      <c r="H15" s="340">
        <f t="shared" si="3"/>
        <v>41674.500000000007</v>
      </c>
      <c r="I15" s="340">
        <f t="shared" si="3"/>
        <v>43758.225000000006</v>
      </c>
      <c r="J15" s="340">
        <f t="shared" si="3"/>
        <v>45946.13625000001</v>
      </c>
      <c r="K15" s="340">
        <f t="shared" si="3"/>
        <v>48243.443062500017</v>
      </c>
    </row>
    <row r="16" spans="1:11" ht="14.45" x14ac:dyDescent="0.35">
      <c r="A16" s="312" t="s">
        <v>711</v>
      </c>
      <c r="B16" s="312" t="s">
        <v>384</v>
      </c>
      <c r="C16" s="312">
        <v>12</v>
      </c>
      <c r="D16" s="381">
        <v>5000</v>
      </c>
      <c r="E16" s="340">
        <f t="shared" si="4"/>
        <v>60000</v>
      </c>
      <c r="F16" s="340">
        <f t="shared" si="3"/>
        <v>63000</v>
      </c>
      <c r="G16" s="340">
        <f t="shared" si="3"/>
        <v>66150</v>
      </c>
      <c r="H16" s="340">
        <f t="shared" si="3"/>
        <v>69457.500000000015</v>
      </c>
      <c r="I16" s="340">
        <f t="shared" si="3"/>
        <v>72930.375000000015</v>
      </c>
      <c r="J16" s="340">
        <f t="shared" si="3"/>
        <v>76576.893750000017</v>
      </c>
      <c r="K16" s="340">
        <f t="shared" si="3"/>
        <v>80405.738437500026</v>
      </c>
    </row>
    <row r="17" spans="1:17" ht="14.45" x14ac:dyDescent="0.35">
      <c r="A17" s="312" t="s">
        <v>187</v>
      </c>
      <c r="B17" s="312" t="s">
        <v>1293</v>
      </c>
      <c r="C17" s="312">
        <v>1</v>
      </c>
      <c r="D17" s="381">
        <v>75000</v>
      </c>
      <c r="E17" s="340">
        <f>$D17*E$4*$C17</f>
        <v>75000</v>
      </c>
      <c r="F17" s="340">
        <f t="shared" ref="F17:K21" si="5">$D17*F$4*$C17</f>
        <v>78750</v>
      </c>
      <c r="G17" s="340">
        <f t="shared" si="5"/>
        <v>82687.5</v>
      </c>
      <c r="H17" s="340">
        <f t="shared" si="5"/>
        <v>86821.875000000015</v>
      </c>
      <c r="I17" s="340">
        <f t="shared" si="5"/>
        <v>91162.968750000015</v>
      </c>
      <c r="J17" s="340">
        <f t="shared" si="5"/>
        <v>95721.117187500029</v>
      </c>
      <c r="K17" s="340">
        <f t="shared" si="5"/>
        <v>100507.17304687503</v>
      </c>
    </row>
    <row r="18" spans="1:17" ht="14.45" x14ac:dyDescent="0.35">
      <c r="A18" s="312" t="s">
        <v>1292</v>
      </c>
      <c r="B18" s="312"/>
      <c r="C18" s="312"/>
      <c r="D18" s="423">
        <v>0.01</v>
      </c>
      <c r="E18" s="340">
        <f>$D$18*C64</f>
        <v>163329.14455599998</v>
      </c>
      <c r="F18" s="340">
        <f t="shared" ref="F18:K18" si="6">$D$18*D64</f>
        <v>153982.90911199999</v>
      </c>
      <c r="G18" s="340">
        <f t="shared" si="6"/>
        <v>144636.673668</v>
      </c>
      <c r="H18" s="340">
        <f t="shared" si="6"/>
        <v>135290.43822400001</v>
      </c>
      <c r="I18" s="340">
        <f t="shared" si="6"/>
        <v>125944.20277999999</v>
      </c>
      <c r="J18" s="340">
        <f t="shared" si="6"/>
        <v>116597.967336</v>
      </c>
      <c r="K18" s="340">
        <f t="shared" si="6"/>
        <v>107251.731892</v>
      </c>
    </row>
    <row r="19" spans="1:17" ht="14.45" hidden="1" x14ac:dyDescent="0.35">
      <c r="A19" s="312"/>
      <c r="B19" s="312"/>
      <c r="C19" s="312"/>
      <c r="D19" s="381"/>
      <c r="E19" s="340">
        <f t="shared" ref="E19:E21" si="7">$D19*E$4*$C19</f>
        <v>0</v>
      </c>
      <c r="F19" s="340">
        <f t="shared" si="5"/>
        <v>0</v>
      </c>
      <c r="G19" s="340">
        <f t="shared" si="5"/>
        <v>0</v>
      </c>
      <c r="H19" s="340">
        <f t="shared" si="5"/>
        <v>0</v>
      </c>
      <c r="I19" s="340">
        <f t="shared" si="5"/>
        <v>0</v>
      </c>
      <c r="J19" s="340">
        <f t="shared" si="5"/>
        <v>0</v>
      </c>
      <c r="K19" s="340">
        <f t="shared" si="5"/>
        <v>0</v>
      </c>
    </row>
    <row r="20" spans="1:17" ht="14.45" hidden="1" x14ac:dyDescent="0.35">
      <c r="A20" s="312"/>
      <c r="B20" s="312"/>
      <c r="C20" s="312"/>
      <c r="D20" s="381"/>
      <c r="E20" s="340">
        <f t="shared" si="7"/>
        <v>0</v>
      </c>
      <c r="F20" s="340">
        <f t="shared" si="5"/>
        <v>0</v>
      </c>
      <c r="G20" s="340">
        <f t="shared" si="5"/>
        <v>0</v>
      </c>
      <c r="H20" s="340">
        <f t="shared" si="5"/>
        <v>0</v>
      </c>
      <c r="I20" s="340">
        <f t="shared" si="5"/>
        <v>0</v>
      </c>
      <c r="J20" s="340">
        <f t="shared" si="5"/>
        <v>0</v>
      </c>
      <c r="K20" s="340">
        <f t="shared" si="5"/>
        <v>0</v>
      </c>
    </row>
    <row r="21" spans="1:17" ht="14.45" hidden="1" x14ac:dyDescent="0.35">
      <c r="A21" s="312"/>
      <c r="B21" s="312"/>
      <c r="C21" s="312"/>
      <c r="D21" s="340"/>
      <c r="E21" s="340">
        <f t="shared" si="7"/>
        <v>0</v>
      </c>
      <c r="F21" s="340">
        <f t="shared" si="5"/>
        <v>0</v>
      </c>
      <c r="G21" s="340">
        <f t="shared" si="5"/>
        <v>0</v>
      </c>
      <c r="H21" s="340">
        <f t="shared" si="5"/>
        <v>0</v>
      </c>
      <c r="I21" s="340">
        <f t="shared" si="5"/>
        <v>0</v>
      </c>
      <c r="J21" s="340">
        <f t="shared" si="5"/>
        <v>0</v>
      </c>
      <c r="K21" s="340">
        <f t="shared" si="5"/>
        <v>0</v>
      </c>
    </row>
    <row r="22" spans="1:17" ht="14.45" x14ac:dyDescent="0.35">
      <c r="A22" s="347" t="s">
        <v>712</v>
      </c>
      <c r="B22" s="347"/>
      <c r="C22" s="347"/>
      <c r="D22" s="367"/>
      <c r="E22" s="367">
        <f>SUM(E8:E21)</f>
        <v>1858329.1445559999</v>
      </c>
      <c r="F22" s="367">
        <f t="shared" ref="F22:K22" si="8">SUM(F8:F21)</f>
        <v>1933732.9091119999</v>
      </c>
      <c r="G22" s="367">
        <f t="shared" si="8"/>
        <v>2013374.1736679999</v>
      </c>
      <c r="H22" s="367">
        <f t="shared" si="8"/>
        <v>2097464.8132240004</v>
      </c>
      <c r="I22" s="367">
        <f t="shared" si="8"/>
        <v>2186227.2965300004</v>
      </c>
      <c r="J22" s="367">
        <f t="shared" si="8"/>
        <v>2279895.2157735005</v>
      </c>
      <c r="K22" s="367">
        <f t="shared" si="8"/>
        <v>2378713.8427513754</v>
      </c>
    </row>
    <row r="24" spans="1:17" ht="14.45" x14ac:dyDescent="0.35">
      <c r="A24" s="570"/>
      <c r="B24" s="570"/>
      <c r="C24" s="570"/>
      <c r="D24" s="570"/>
      <c r="E24" s="570"/>
      <c r="F24" s="570"/>
      <c r="G24" s="570"/>
      <c r="H24" s="570"/>
      <c r="I24" s="570"/>
      <c r="J24" s="570"/>
      <c r="K24" s="570"/>
      <c r="L24" s="570"/>
      <c r="M24" s="570"/>
      <c r="N24" s="570"/>
      <c r="O24" s="570"/>
    </row>
    <row r="25" spans="1:17" ht="14.45" x14ac:dyDescent="0.35">
      <c r="A25" s="570" t="s">
        <v>539</v>
      </c>
      <c r="B25" s="570"/>
      <c r="C25" s="570"/>
      <c r="D25" s="570"/>
      <c r="E25" s="570"/>
      <c r="F25" s="570"/>
      <c r="G25" s="570"/>
      <c r="H25" s="570"/>
      <c r="I25" s="570"/>
      <c r="J25" s="570"/>
      <c r="K25" s="570"/>
      <c r="L25" s="570"/>
      <c r="M25" s="570"/>
      <c r="N25" s="570"/>
      <c r="O25" s="570"/>
      <c r="P25" s="570"/>
      <c r="Q25" s="570"/>
    </row>
    <row r="26" spans="1:17" s="427" customFormat="1" ht="14.45" x14ac:dyDescent="0.35">
      <c r="A26" s="498"/>
      <c r="B26" s="498"/>
      <c r="C26" s="498"/>
      <c r="D26" s="498"/>
      <c r="E26" s="498"/>
      <c r="F26" s="498"/>
      <c r="G26" s="498"/>
      <c r="H26" s="498"/>
      <c r="I26" s="498"/>
      <c r="J26" s="498"/>
      <c r="K26" s="498"/>
      <c r="L26" s="498"/>
      <c r="M26" s="498"/>
      <c r="N26" s="498"/>
      <c r="O26" s="498"/>
    </row>
    <row r="27" spans="1:17" ht="14.45" x14ac:dyDescent="0.35">
      <c r="C27" s="571" t="s">
        <v>190</v>
      </c>
      <c r="D27" s="571"/>
      <c r="E27" s="571"/>
      <c r="F27" s="571"/>
      <c r="G27" s="571"/>
      <c r="H27" s="571"/>
      <c r="I27" s="571"/>
      <c r="K27" s="571" t="s">
        <v>191</v>
      </c>
      <c r="L27" s="571"/>
      <c r="M27" s="571"/>
      <c r="N27" s="571"/>
      <c r="O27" s="571"/>
      <c r="P27" s="571"/>
      <c r="Q27" s="571"/>
    </row>
    <row r="28" spans="1:17" ht="14.45" x14ac:dyDescent="0.35">
      <c r="A28" s="499" t="s">
        <v>0</v>
      </c>
      <c r="B28" s="500"/>
      <c r="C28" s="471" t="s">
        <v>2</v>
      </c>
      <c r="D28" s="471" t="s">
        <v>3</v>
      </c>
      <c r="E28" s="471" t="s">
        <v>4</v>
      </c>
      <c r="F28" s="471" t="s">
        <v>5</v>
      </c>
      <c r="G28" s="471" t="s">
        <v>6</v>
      </c>
      <c r="H28" s="471" t="s">
        <v>165</v>
      </c>
      <c r="I28" s="471" t="s">
        <v>164</v>
      </c>
      <c r="J28" s="501"/>
      <c r="K28" s="471" t="s">
        <v>2</v>
      </c>
      <c r="L28" s="471" t="s">
        <v>3</v>
      </c>
      <c r="M28" s="471" t="s">
        <v>4</v>
      </c>
      <c r="N28" s="471" t="s">
        <v>5</v>
      </c>
      <c r="O28" s="471" t="s">
        <v>6</v>
      </c>
      <c r="P28" s="471" t="s">
        <v>165</v>
      </c>
      <c r="Q28" s="471" t="s">
        <v>164</v>
      </c>
    </row>
    <row r="29" spans="1:17" ht="14.45" x14ac:dyDescent="0.35">
      <c r="A29" s="502" t="s">
        <v>192</v>
      </c>
      <c r="B29" s="360"/>
      <c r="C29" s="360"/>
      <c r="D29" s="360"/>
      <c r="E29" s="360"/>
      <c r="F29" s="360"/>
      <c r="G29" s="503"/>
      <c r="H29" s="503"/>
      <c r="I29" s="503"/>
      <c r="J29" s="360"/>
      <c r="K29" s="360"/>
      <c r="L29" s="360"/>
      <c r="M29" s="360"/>
      <c r="N29" s="360"/>
      <c r="O29" s="503"/>
      <c r="P29" s="503"/>
      <c r="Q29" s="503"/>
    </row>
    <row r="30" spans="1:17" ht="14.45" x14ac:dyDescent="0.35">
      <c r="A30" s="502"/>
      <c r="B30" s="360"/>
      <c r="C30" s="360"/>
      <c r="D30" s="360"/>
      <c r="E30" s="360"/>
      <c r="F30" s="360"/>
      <c r="G30" s="503"/>
      <c r="H30" s="503"/>
      <c r="I30" s="503"/>
      <c r="J30" s="360"/>
      <c r="K30" s="360"/>
      <c r="L30" s="360"/>
      <c r="M30" s="360"/>
      <c r="N30" s="360"/>
      <c r="O30" s="503"/>
      <c r="P30" s="503"/>
      <c r="Q30" s="503"/>
    </row>
    <row r="31" spans="1:17" ht="14.45" x14ac:dyDescent="0.35">
      <c r="A31" s="504"/>
      <c r="B31" s="504"/>
      <c r="C31" s="360"/>
      <c r="D31" s="360"/>
      <c r="E31" s="360"/>
      <c r="F31" s="360"/>
      <c r="G31" s="360"/>
      <c r="H31" s="360"/>
      <c r="I31" s="360"/>
      <c r="J31" s="360"/>
      <c r="K31" s="360"/>
      <c r="L31" s="360"/>
      <c r="M31" s="360"/>
      <c r="N31" s="360"/>
      <c r="O31" s="360"/>
      <c r="P31" s="360"/>
      <c r="Q31" s="360"/>
    </row>
    <row r="32" spans="1:17" ht="14.45" x14ac:dyDescent="0.35">
      <c r="A32" s="505" t="s">
        <v>1199</v>
      </c>
      <c r="B32" s="505"/>
      <c r="C32" s="360"/>
      <c r="D32" s="360"/>
      <c r="E32" s="360"/>
      <c r="F32" s="360"/>
      <c r="G32" s="360"/>
      <c r="H32" s="360"/>
      <c r="I32" s="360"/>
      <c r="J32" s="360"/>
      <c r="K32" s="360"/>
      <c r="L32" s="360"/>
      <c r="M32" s="360"/>
      <c r="N32" s="360"/>
      <c r="O32" s="360"/>
      <c r="P32" s="360"/>
      <c r="Q32" s="360"/>
    </row>
    <row r="33" spans="1:17" ht="14.45" x14ac:dyDescent="0.35">
      <c r="A33" s="504" t="s">
        <v>193</v>
      </c>
      <c r="B33" s="504"/>
      <c r="C33" s="506">
        <f>'Cost MOF'!D5</f>
        <v>7230000</v>
      </c>
      <c r="D33" s="506">
        <f t="shared" ref="D33:I33" si="9">C36</f>
        <v>7000809</v>
      </c>
      <c r="E33" s="506">
        <f t="shared" si="9"/>
        <v>6771618</v>
      </c>
      <c r="F33" s="506">
        <f t="shared" si="9"/>
        <v>6542427</v>
      </c>
      <c r="G33" s="506">
        <f t="shared" si="9"/>
        <v>6313236</v>
      </c>
      <c r="H33" s="506">
        <f t="shared" si="9"/>
        <v>6084045</v>
      </c>
      <c r="I33" s="506">
        <f t="shared" si="9"/>
        <v>5854854</v>
      </c>
      <c r="J33" s="360"/>
      <c r="K33" s="506">
        <f>C33</f>
        <v>7230000</v>
      </c>
      <c r="L33" s="506">
        <f t="shared" ref="L33:Q33" si="10">K36</f>
        <v>6507000</v>
      </c>
      <c r="M33" s="506">
        <f t="shared" si="10"/>
        <v>5856300</v>
      </c>
      <c r="N33" s="506">
        <f t="shared" si="10"/>
        <v>5270670</v>
      </c>
      <c r="O33" s="506">
        <f t="shared" si="10"/>
        <v>4743603</v>
      </c>
      <c r="P33" s="506">
        <f t="shared" si="10"/>
        <v>4269242.7</v>
      </c>
      <c r="Q33" s="506">
        <f t="shared" si="10"/>
        <v>3842318.43</v>
      </c>
    </row>
    <row r="34" spans="1:17" ht="14.45" x14ac:dyDescent="0.35">
      <c r="A34" s="504" t="s">
        <v>17</v>
      </c>
      <c r="B34" s="504"/>
      <c r="C34" s="506">
        <f t="shared" ref="C34:I34" si="11">$C$33*$B$70</f>
        <v>229191</v>
      </c>
      <c r="D34" s="506">
        <f t="shared" si="11"/>
        <v>229191</v>
      </c>
      <c r="E34" s="506">
        <f t="shared" si="11"/>
        <v>229191</v>
      </c>
      <c r="F34" s="506">
        <f t="shared" si="11"/>
        <v>229191</v>
      </c>
      <c r="G34" s="506">
        <f t="shared" si="11"/>
        <v>229191</v>
      </c>
      <c r="H34" s="506">
        <f t="shared" si="11"/>
        <v>229191</v>
      </c>
      <c r="I34" s="506">
        <f t="shared" si="11"/>
        <v>229191</v>
      </c>
      <c r="J34" s="360"/>
      <c r="K34" s="506">
        <f t="shared" ref="K34:Q34" si="12">K33*$C$70</f>
        <v>723000</v>
      </c>
      <c r="L34" s="506">
        <f t="shared" si="12"/>
        <v>650700</v>
      </c>
      <c r="M34" s="506">
        <f t="shared" si="12"/>
        <v>585630</v>
      </c>
      <c r="N34" s="506">
        <f t="shared" si="12"/>
        <v>527067</v>
      </c>
      <c r="O34" s="506">
        <f t="shared" si="12"/>
        <v>474360.30000000005</v>
      </c>
      <c r="P34" s="506">
        <f t="shared" si="12"/>
        <v>426924.27</v>
      </c>
      <c r="Q34" s="506">
        <f t="shared" si="12"/>
        <v>384231.84300000005</v>
      </c>
    </row>
    <row r="35" spans="1:17" x14ac:dyDescent="0.25">
      <c r="A35" s="504" t="s">
        <v>194</v>
      </c>
      <c r="B35" s="504"/>
      <c r="C35" s="506">
        <f>C34</f>
        <v>229191</v>
      </c>
      <c r="D35" s="506">
        <f t="shared" ref="D35:I35" si="13">C35+D34</f>
        <v>458382</v>
      </c>
      <c r="E35" s="506">
        <f t="shared" si="13"/>
        <v>687573</v>
      </c>
      <c r="F35" s="506">
        <f t="shared" si="13"/>
        <v>916764</v>
      </c>
      <c r="G35" s="506">
        <f t="shared" si="13"/>
        <v>1145955</v>
      </c>
      <c r="H35" s="506">
        <f t="shared" si="13"/>
        <v>1375146</v>
      </c>
      <c r="I35" s="506">
        <f t="shared" si="13"/>
        <v>1604337</v>
      </c>
      <c r="J35" s="360"/>
      <c r="K35" s="506">
        <f>K34</f>
        <v>723000</v>
      </c>
      <c r="L35" s="506">
        <f t="shared" ref="L35:Q35" si="14">K35+L34</f>
        <v>1373700</v>
      </c>
      <c r="M35" s="506">
        <f t="shared" si="14"/>
        <v>1959330</v>
      </c>
      <c r="N35" s="506">
        <f t="shared" si="14"/>
        <v>2486397</v>
      </c>
      <c r="O35" s="506">
        <f t="shared" si="14"/>
        <v>2960757.3</v>
      </c>
      <c r="P35" s="506">
        <f t="shared" si="14"/>
        <v>3387681.57</v>
      </c>
      <c r="Q35" s="506">
        <f t="shared" si="14"/>
        <v>3771913.4129999997</v>
      </c>
    </row>
    <row r="36" spans="1:17" x14ac:dyDescent="0.25">
      <c r="A36" s="504" t="s">
        <v>195</v>
      </c>
      <c r="B36" s="504"/>
      <c r="C36" s="506">
        <f t="shared" ref="C36:I36" si="15">C33-C34</f>
        <v>7000809</v>
      </c>
      <c r="D36" s="506">
        <f t="shared" si="15"/>
        <v>6771618</v>
      </c>
      <c r="E36" s="506">
        <f t="shared" si="15"/>
        <v>6542427</v>
      </c>
      <c r="F36" s="506">
        <f t="shared" si="15"/>
        <v>6313236</v>
      </c>
      <c r="G36" s="506">
        <f t="shared" si="15"/>
        <v>6084045</v>
      </c>
      <c r="H36" s="506">
        <f t="shared" si="15"/>
        <v>5854854</v>
      </c>
      <c r="I36" s="506">
        <f t="shared" si="15"/>
        <v>5625663</v>
      </c>
      <c r="J36" s="360"/>
      <c r="K36" s="506">
        <f t="shared" ref="K36:Q36" si="16">K33-K34</f>
        <v>6507000</v>
      </c>
      <c r="L36" s="506">
        <f t="shared" si="16"/>
        <v>5856300</v>
      </c>
      <c r="M36" s="506">
        <f t="shared" si="16"/>
        <v>5270670</v>
      </c>
      <c r="N36" s="506">
        <f t="shared" si="16"/>
        <v>4743603</v>
      </c>
      <c r="O36" s="506">
        <f t="shared" si="16"/>
        <v>4269242.7</v>
      </c>
      <c r="P36" s="506">
        <f t="shared" si="16"/>
        <v>3842318.43</v>
      </c>
      <c r="Q36" s="506">
        <f t="shared" si="16"/>
        <v>3458086.5870000003</v>
      </c>
    </row>
    <row r="37" spans="1:17" x14ac:dyDescent="0.25">
      <c r="A37" s="504"/>
      <c r="B37" s="504"/>
      <c r="C37" s="506"/>
      <c r="D37" s="506"/>
      <c r="E37" s="506"/>
      <c r="F37" s="506"/>
      <c r="G37" s="506"/>
      <c r="H37" s="506"/>
      <c r="I37" s="506"/>
      <c r="J37" s="360"/>
      <c r="K37" s="506"/>
      <c r="L37" s="506"/>
      <c r="M37" s="506"/>
      <c r="N37" s="506"/>
      <c r="O37" s="506"/>
      <c r="P37" s="506"/>
      <c r="Q37" s="506"/>
    </row>
    <row r="38" spans="1:17" x14ac:dyDescent="0.25">
      <c r="A38" s="505" t="s">
        <v>197</v>
      </c>
      <c r="B38" s="505"/>
      <c r="C38" s="506"/>
      <c r="D38" s="506"/>
      <c r="E38" s="506"/>
      <c r="F38" s="506"/>
      <c r="G38" s="506"/>
      <c r="H38" s="506"/>
      <c r="I38" s="506"/>
      <c r="J38" s="360"/>
      <c r="K38" s="506"/>
      <c r="L38" s="506"/>
      <c r="M38" s="506"/>
      <c r="N38" s="506"/>
      <c r="O38" s="506"/>
      <c r="P38" s="506"/>
      <c r="Q38" s="506"/>
    </row>
    <row r="39" spans="1:17" x14ac:dyDescent="0.25">
      <c r="A39" s="504" t="s">
        <v>193</v>
      </c>
      <c r="B39" s="504"/>
      <c r="C39" s="506">
        <f>'Cost MOF'!D6</f>
        <v>8612700</v>
      </c>
      <c r="D39" s="506">
        <f t="shared" ref="D39:I39" si="17">C42</f>
        <v>8067516.0899999999</v>
      </c>
      <c r="E39" s="506">
        <f t="shared" si="17"/>
        <v>7522332.1799999997</v>
      </c>
      <c r="F39" s="506">
        <f t="shared" si="17"/>
        <v>6977148.2699999996</v>
      </c>
      <c r="G39" s="506">
        <f t="shared" si="17"/>
        <v>6431964.3599999994</v>
      </c>
      <c r="H39" s="506">
        <f t="shared" si="17"/>
        <v>5886780.4499999993</v>
      </c>
      <c r="I39" s="506">
        <f t="shared" si="17"/>
        <v>5341596.5399999991</v>
      </c>
      <c r="J39" s="360"/>
      <c r="K39" s="506">
        <f>C39</f>
        <v>8612700</v>
      </c>
      <c r="L39" s="506">
        <f t="shared" ref="L39:Q39" si="18">K42</f>
        <v>7320795</v>
      </c>
      <c r="M39" s="506">
        <f t="shared" si="18"/>
        <v>6222675.75</v>
      </c>
      <c r="N39" s="506">
        <f t="shared" si="18"/>
        <v>5289274.3875000002</v>
      </c>
      <c r="O39" s="506">
        <f t="shared" si="18"/>
        <v>4495883.2293750001</v>
      </c>
      <c r="P39" s="506">
        <f t="shared" si="18"/>
        <v>3821500.74496875</v>
      </c>
      <c r="Q39" s="506">
        <f t="shared" si="18"/>
        <v>3248275.6332234377</v>
      </c>
    </row>
    <row r="40" spans="1:17" x14ac:dyDescent="0.25">
      <c r="A40" s="504" t="s">
        <v>17</v>
      </c>
      <c r="B40" s="504"/>
      <c r="C40" s="506">
        <f t="shared" ref="C40:I40" si="19">$C$39*$B$74</f>
        <v>545183.90999999992</v>
      </c>
      <c r="D40" s="506">
        <f t="shared" si="19"/>
        <v>545183.90999999992</v>
      </c>
      <c r="E40" s="506">
        <f t="shared" si="19"/>
        <v>545183.90999999992</v>
      </c>
      <c r="F40" s="506">
        <f t="shared" si="19"/>
        <v>545183.90999999992</v>
      </c>
      <c r="G40" s="506">
        <f t="shared" si="19"/>
        <v>545183.90999999992</v>
      </c>
      <c r="H40" s="506">
        <f t="shared" si="19"/>
        <v>545183.90999999992</v>
      </c>
      <c r="I40" s="506">
        <f t="shared" si="19"/>
        <v>545183.90999999992</v>
      </c>
      <c r="J40" s="360"/>
      <c r="K40" s="506">
        <f t="shared" ref="K40:Q40" si="20">K39*$C$74</f>
        <v>1291905</v>
      </c>
      <c r="L40" s="506">
        <f t="shared" si="20"/>
        <v>1098119.25</v>
      </c>
      <c r="M40" s="506">
        <f t="shared" si="20"/>
        <v>933401.36249999993</v>
      </c>
      <c r="N40" s="506">
        <f t="shared" si="20"/>
        <v>793391.15812499996</v>
      </c>
      <c r="O40" s="506">
        <f t="shared" si="20"/>
        <v>674382.48440624995</v>
      </c>
      <c r="P40" s="506">
        <f t="shared" si="20"/>
        <v>573225.11174531246</v>
      </c>
      <c r="Q40" s="506">
        <f t="shared" si="20"/>
        <v>487241.34498351562</v>
      </c>
    </row>
    <row r="41" spans="1:17" x14ac:dyDescent="0.25">
      <c r="A41" s="504" t="s">
        <v>194</v>
      </c>
      <c r="B41" s="504"/>
      <c r="C41" s="506">
        <f>C40</f>
        <v>545183.90999999992</v>
      </c>
      <c r="D41" s="506">
        <f t="shared" ref="D41:I41" si="21">C41+D40</f>
        <v>1090367.8199999998</v>
      </c>
      <c r="E41" s="506">
        <f t="shared" si="21"/>
        <v>1635551.7299999997</v>
      </c>
      <c r="F41" s="506">
        <f t="shared" si="21"/>
        <v>2180735.6399999997</v>
      </c>
      <c r="G41" s="506">
        <f t="shared" si="21"/>
        <v>2725919.55</v>
      </c>
      <c r="H41" s="506">
        <f t="shared" si="21"/>
        <v>3271103.46</v>
      </c>
      <c r="I41" s="506">
        <f t="shared" si="21"/>
        <v>3816287.37</v>
      </c>
      <c r="J41" s="360"/>
      <c r="K41" s="506">
        <f>K40</f>
        <v>1291905</v>
      </c>
      <c r="L41" s="506">
        <f t="shared" ref="L41:Q41" si="22">K41+L40</f>
        <v>2390024.25</v>
      </c>
      <c r="M41" s="506">
        <f t="shared" si="22"/>
        <v>3323425.6124999998</v>
      </c>
      <c r="N41" s="506">
        <f t="shared" si="22"/>
        <v>4116816.7706249999</v>
      </c>
      <c r="O41" s="506">
        <f t="shared" si="22"/>
        <v>4791199.2550312495</v>
      </c>
      <c r="P41" s="506">
        <f t="shared" si="22"/>
        <v>5364424.3667765623</v>
      </c>
      <c r="Q41" s="506">
        <f t="shared" si="22"/>
        <v>5851665.7117600776</v>
      </c>
    </row>
    <row r="42" spans="1:17" x14ac:dyDescent="0.25">
      <c r="A42" s="504" t="s">
        <v>195</v>
      </c>
      <c r="B42" s="504"/>
      <c r="C42" s="506">
        <f t="shared" ref="C42:I42" si="23">C39-C40</f>
        <v>8067516.0899999999</v>
      </c>
      <c r="D42" s="506">
        <f t="shared" si="23"/>
        <v>7522332.1799999997</v>
      </c>
      <c r="E42" s="506">
        <f t="shared" si="23"/>
        <v>6977148.2699999996</v>
      </c>
      <c r="F42" s="506">
        <f t="shared" si="23"/>
        <v>6431964.3599999994</v>
      </c>
      <c r="G42" s="506">
        <f t="shared" si="23"/>
        <v>5886780.4499999993</v>
      </c>
      <c r="H42" s="506">
        <f t="shared" si="23"/>
        <v>5341596.5399999991</v>
      </c>
      <c r="I42" s="506">
        <f t="shared" si="23"/>
        <v>4796412.629999999</v>
      </c>
      <c r="J42" s="360"/>
      <c r="K42" s="506">
        <f t="shared" ref="K42:Q42" si="24">K39-K40</f>
        <v>7320795</v>
      </c>
      <c r="L42" s="506">
        <f t="shared" si="24"/>
        <v>6222675.75</v>
      </c>
      <c r="M42" s="506">
        <f t="shared" si="24"/>
        <v>5289274.3875000002</v>
      </c>
      <c r="N42" s="506">
        <f t="shared" si="24"/>
        <v>4495883.2293750001</v>
      </c>
      <c r="O42" s="506">
        <f t="shared" si="24"/>
        <v>3821500.74496875</v>
      </c>
      <c r="P42" s="506">
        <f t="shared" si="24"/>
        <v>3248275.6332234377</v>
      </c>
      <c r="Q42" s="506">
        <f t="shared" si="24"/>
        <v>2761034.2882399219</v>
      </c>
    </row>
    <row r="43" spans="1:17" x14ac:dyDescent="0.25">
      <c r="A43" s="504"/>
      <c r="B43" s="504"/>
      <c r="C43" s="506"/>
      <c r="D43" s="506"/>
      <c r="E43" s="506"/>
      <c r="F43" s="506"/>
      <c r="G43" s="506"/>
      <c r="H43" s="506"/>
      <c r="I43" s="506"/>
      <c r="J43" s="360"/>
      <c r="K43" s="506"/>
      <c r="L43" s="506"/>
      <c r="M43" s="506"/>
      <c r="N43" s="506"/>
      <c r="O43" s="506"/>
      <c r="P43" s="506"/>
      <c r="Q43" s="506"/>
    </row>
    <row r="44" spans="1:17" x14ac:dyDescent="0.25">
      <c r="A44" s="505" t="s">
        <v>198</v>
      </c>
      <c r="B44" s="505"/>
      <c r="C44" s="506"/>
      <c r="D44" s="506"/>
      <c r="E44" s="506"/>
      <c r="F44" s="506"/>
      <c r="G44" s="506"/>
      <c r="H44" s="506"/>
      <c r="I44" s="506"/>
      <c r="J44" s="360"/>
      <c r="K44" s="506"/>
      <c r="L44" s="506"/>
      <c r="M44" s="506"/>
      <c r="N44" s="506"/>
      <c r="O44" s="506"/>
      <c r="P44" s="506"/>
      <c r="Q44" s="506"/>
    </row>
    <row r="45" spans="1:17" x14ac:dyDescent="0.25">
      <c r="A45" s="504" t="s">
        <v>193</v>
      </c>
      <c r="B45" s="504"/>
      <c r="C45" s="506">
        <f>'Cost MOF'!D7</f>
        <v>300400</v>
      </c>
      <c r="D45" s="506">
        <f t="shared" ref="D45:I45" si="25">C48</f>
        <v>270360</v>
      </c>
      <c r="E45" s="506">
        <f t="shared" si="25"/>
        <v>240320</v>
      </c>
      <c r="F45" s="506">
        <f t="shared" si="25"/>
        <v>210280</v>
      </c>
      <c r="G45" s="506">
        <f t="shared" si="25"/>
        <v>180240</v>
      </c>
      <c r="H45" s="506">
        <f t="shared" si="25"/>
        <v>150200</v>
      </c>
      <c r="I45" s="506">
        <f t="shared" si="25"/>
        <v>120160</v>
      </c>
      <c r="J45" s="360"/>
      <c r="K45" s="506">
        <f>C45</f>
        <v>300400</v>
      </c>
      <c r="L45" s="506">
        <f t="shared" ref="L45:Q45" si="26">K48</f>
        <v>270360</v>
      </c>
      <c r="M45" s="506">
        <f t="shared" si="26"/>
        <v>243324</v>
      </c>
      <c r="N45" s="506">
        <f t="shared" si="26"/>
        <v>218991.6</v>
      </c>
      <c r="O45" s="506">
        <f t="shared" si="26"/>
        <v>197092.44</v>
      </c>
      <c r="P45" s="506">
        <f t="shared" si="26"/>
        <v>177383.196</v>
      </c>
      <c r="Q45" s="506">
        <f t="shared" si="26"/>
        <v>159644.87640000001</v>
      </c>
    </row>
    <row r="46" spans="1:17" x14ac:dyDescent="0.25">
      <c r="A46" s="504" t="s">
        <v>17</v>
      </c>
      <c r="B46" s="504"/>
      <c r="C46" s="506">
        <f t="shared" ref="C46:I46" si="27">$C$45*$B$71</f>
        <v>30040</v>
      </c>
      <c r="D46" s="506">
        <f t="shared" si="27"/>
        <v>30040</v>
      </c>
      <c r="E46" s="506">
        <f t="shared" si="27"/>
        <v>30040</v>
      </c>
      <c r="F46" s="506">
        <f t="shared" si="27"/>
        <v>30040</v>
      </c>
      <c r="G46" s="506">
        <f t="shared" si="27"/>
        <v>30040</v>
      </c>
      <c r="H46" s="506">
        <f t="shared" si="27"/>
        <v>30040</v>
      </c>
      <c r="I46" s="506">
        <f t="shared" si="27"/>
        <v>30040</v>
      </c>
      <c r="J46" s="360"/>
      <c r="K46" s="506">
        <f t="shared" ref="K46:Q46" si="28">K45*$C$71</f>
        <v>30040</v>
      </c>
      <c r="L46" s="506">
        <f t="shared" si="28"/>
        <v>27036</v>
      </c>
      <c r="M46" s="506">
        <f t="shared" si="28"/>
        <v>24332.400000000001</v>
      </c>
      <c r="N46" s="506">
        <f t="shared" si="28"/>
        <v>21899.160000000003</v>
      </c>
      <c r="O46" s="506">
        <f t="shared" si="28"/>
        <v>19709.244000000002</v>
      </c>
      <c r="P46" s="506">
        <f t="shared" si="28"/>
        <v>17738.319599999999</v>
      </c>
      <c r="Q46" s="506">
        <f t="shared" si="28"/>
        <v>15964.487640000001</v>
      </c>
    </row>
    <row r="47" spans="1:17" x14ac:dyDescent="0.25">
      <c r="A47" s="504" t="s">
        <v>194</v>
      </c>
      <c r="B47" s="504"/>
      <c r="C47" s="506">
        <f>C46</f>
        <v>30040</v>
      </c>
      <c r="D47" s="506">
        <f t="shared" ref="D47:I47" si="29">C47+D46</f>
        <v>60080</v>
      </c>
      <c r="E47" s="506">
        <f t="shared" si="29"/>
        <v>90120</v>
      </c>
      <c r="F47" s="506">
        <f t="shared" si="29"/>
        <v>120160</v>
      </c>
      <c r="G47" s="506">
        <f t="shared" si="29"/>
        <v>150200</v>
      </c>
      <c r="H47" s="506">
        <f t="shared" si="29"/>
        <v>180240</v>
      </c>
      <c r="I47" s="506">
        <f t="shared" si="29"/>
        <v>210280</v>
      </c>
      <c r="J47" s="360"/>
      <c r="K47" s="506">
        <f>K46</f>
        <v>30040</v>
      </c>
      <c r="L47" s="506">
        <f t="shared" ref="L47:Q47" si="30">K47+L46</f>
        <v>57076</v>
      </c>
      <c r="M47" s="506">
        <f t="shared" si="30"/>
        <v>81408.399999999994</v>
      </c>
      <c r="N47" s="506">
        <f t="shared" si="30"/>
        <v>103307.56</v>
      </c>
      <c r="O47" s="506">
        <f t="shared" si="30"/>
        <v>123016.804</v>
      </c>
      <c r="P47" s="506">
        <f t="shared" si="30"/>
        <v>140755.12359999999</v>
      </c>
      <c r="Q47" s="506">
        <f t="shared" si="30"/>
        <v>156719.61124</v>
      </c>
    </row>
    <row r="48" spans="1:17" x14ac:dyDescent="0.25">
      <c r="A48" s="504" t="s">
        <v>195</v>
      </c>
      <c r="B48" s="504"/>
      <c r="C48" s="506">
        <f t="shared" ref="C48:I48" si="31">C45-C46</f>
        <v>270360</v>
      </c>
      <c r="D48" s="506">
        <f t="shared" si="31"/>
        <v>240320</v>
      </c>
      <c r="E48" s="506">
        <f t="shared" si="31"/>
        <v>210280</v>
      </c>
      <c r="F48" s="506">
        <f t="shared" si="31"/>
        <v>180240</v>
      </c>
      <c r="G48" s="506">
        <f t="shared" si="31"/>
        <v>150200</v>
      </c>
      <c r="H48" s="506">
        <f t="shared" si="31"/>
        <v>120160</v>
      </c>
      <c r="I48" s="506">
        <f t="shared" si="31"/>
        <v>90120</v>
      </c>
      <c r="J48" s="360"/>
      <c r="K48" s="506">
        <f t="shared" ref="K48:Q48" si="32">K45-K46</f>
        <v>270360</v>
      </c>
      <c r="L48" s="506">
        <f t="shared" si="32"/>
        <v>243324</v>
      </c>
      <c r="M48" s="506">
        <f t="shared" si="32"/>
        <v>218991.6</v>
      </c>
      <c r="N48" s="506">
        <f t="shared" si="32"/>
        <v>197092.44</v>
      </c>
      <c r="O48" s="506">
        <f t="shared" si="32"/>
        <v>177383.196</v>
      </c>
      <c r="P48" s="506">
        <f t="shared" si="32"/>
        <v>159644.87640000001</v>
      </c>
      <c r="Q48" s="506">
        <f t="shared" si="32"/>
        <v>143680.38876</v>
      </c>
    </row>
    <row r="49" spans="1:17" x14ac:dyDescent="0.25">
      <c r="A49" s="504"/>
      <c r="B49" s="504"/>
      <c r="C49" s="506"/>
      <c r="D49" s="506"/>
      <c r="E49" s="506"/>
      <c r="F49" s="506"/>
      <c r="G49" s="506"/>
      <c r="H49" s="506"/>
      <c r="I49" s="506"/>
      <c r="J49" s="360"/>
      <c r="K49" s="506"/>
      <c r="L49" s="506"/>
      <c r="M49" s="506"/>
      <c r="N49" s="506"/>
      <c r="O49" s="506"/>
      <c r="P49" s="506"/>
      <c r="Q49" s="506"/>
    </row>
    <row r="50" spans="1:17" x14ac:dyDescent="0.25">
      <c r="A50" s="505" t="s">
        <v>155</v>
      </c>
      <c r="B50" s="505"/>
      <c r="C50" s="506"/>
      <c r="D50" s="506"/>
      <c r="E50" s="506"/>
      <c r="F50" s="506"/>
      <c r="G50" s="506"/>
      <c r="H50" s="506"/>
      <c r="I50" s="506"/>
      <c r="J50" s="360"/>
      <c r="K50" s="506"/>
      <c r="L50" s="506"/>
      <c r="M50" s="506"/>
      <c r="N50" s="506"/>
      <c r="O50" s="506"/>
      <c r="P50" s="506"/>
      <c r="Q50" s="506"/>
    </row>
    <row r="51" spans="1:17" x14ac:dyDescent="0.25">
      <c r="A51" s="504" t="s">
        <v>193</v>
      </c>
      <c r="B51" s="504"/>
      <c r="C51" s="506">
        <f>'Cost MOF'!D9</f>
        <v>944938</v>
      </c>
      <c r="D51" s="506">
        <f t="shared" ref="D51:I51" si="33">C54</f>
        <v>832679.36560000002</v>
      </c>
      <c r="E51" s="506">
        <f t="shared" si="33"/>
        <v>720420.73120000004</v>
      </c>
      <c r="F51" s="506">
        <f t="shared" si="33"/>
        <v>608162.09680000006</v>
      </c>
      <c r="G51" s="506">
        <f t="shared" si="33"/>
        <v>495903.46240000008</v>
      </c>
      <c r="H51" s="506">
        <f t="shared" si="33"/>
        <v>383644.8280000001</v>
      </c>
      <c r="I51" s="506">
        <f t="shared" si="33"/>
        <v>271386.19360000012</v>
      </c>
      <c r="J51" s="360"/>
      <c r="K51" s="506">
        <f>C51</f>
        <v>944938</v>
      </c>
      <c r="L51" s="506">
        <f t="shared" ref="L51:Q51" si="34">K54</f>
        <v>803197.3</v>
      </c>
      <c r="M51" s="506">
        <f t="shared" si="34"/>
        <v>682717.70500000007</v>
      </c>
      <c r="N51" s="506">
        <f t="shared" si="34"/>
        <v>580310.04925000004</v>
      </c>
      <c r="O51" s="506">
        <f t="shared" si="34"/>
        <v>493263.54186250002</v>
      </c>
      <c r="P51" s="506">
        <f t="shared" si="34"/>
        <v>419274.010583125</v>
      </c>
      <c r="Q51" s="506">
        <f t="shared" si="34"/>
        <v>356382.90899565624</v>
      </c>
    </row>
    <row r="52" spans="1:17" x14ac:dyDescent="0.25">
      <c r="A52" s="504" t="s">
        <v>17</v>
      </c>
      <c r="B52" s="504"/>
      <c r="C52" s="506">
        <f t="shared" ref="C52:I52" si="35">$C$51*$B$73</f>
        <v>112258.63440000001</v>
      </c>
      <c r="D52" s="506">
        <f t="shared" si="35"/>
        <v>112258.63440000001</v>
      </c>
      <c r="E52" s="506">
        <f t="shared" si="35"/>
        <v>112258.63440000001</v>
      </c>
      <c r="F52" s="506">
        <f t="shared" si="35"/>
        <v>112258.63440000001</v>
      </c>
      <c r="G52" s="506">
        <f t="shared" si="35"/>
        <v>112258.63440000001</v>
      </c>
      <c r="H52" s="506">
        <f t="shared" si="35"/>
        <v>112258.63440000001</v>
      </c>
      <c r="I52" s="506">
        <f t="shared" si="35"/>
        <v>112258.63440000001</v>
      </c>
      <c r="J52" s="360"/>
      <c r="K52" s="506">
        <f t="shared" ref="K52:Q52" si="36">K51*$C$73</f>
        <v>141740.69999999998</v>
      </c>
      <c r="L52" s="506">
        <f t="shared" si="36"/>
        <v>120479.595</v>
      </c>
      <c r="M52" s="506">
        <f t="shared" si="36"/>
        <v>102407.65575000001</v>
      </c>
      <c r="N52" s="506">
        <f t="shared" si="36"/>
        <v>87046.507387500009</v>
      </c>
      <c r="O52" s="506">
        <f t="shared" si="36"/>
        <v>73989.531279375005</v>
      </c>
      <c r="P52" s="506">
        <f t="shared" si="36"/>
        <v>62891.101587468744</v>
      </c>
      <c r="Q52" s="506">
        <f t="shared" si="36"/>
        <v>53457.436349348434</v>
      </c>
    </row>
    <row r="53" spans="1:17" x14ac:dyDescent="0.25">
      <c r="A53" s="504" t="s">
        <v>194</v>
      </c>
      <c r="B53" s="504"/>
      <c r="C53" s="506">
        <f>C52</f>
        <v>112258.63440000001</v>
      </c>
      <c r="D53" s="506">
        <f t="shared" ref="D53:I53" si="37">C53+D52</f>
        <v>224517.26880000002</v>
      </c>
      <c r="E53" s="506">
        <f t="shared" si="37"/>
        <v>336775.90320000006</v>
      </c>
      <c r="F53" s="506">
        <f t="shared" si="37"/>
        <v>449034.53760000004</v>
      </c>
      <c r="G53" s="506">
        <f t="shared" si="37"/>
        <v>561293.17200000002</v>
      </c>
      <c r="H53" s="506">
        <f t="shared" si="37"/>
        <v>673551.8064</v>
      </c>
      <c r="I53" s="506">
        <f t="shared" si="37"/>
        <v>785810.44079999998</v>
      </c>
      <c r="J53" s="360"/>
      <c r="K53" s="506">
        <f>K52</f>
        <v>141740.69999999998</v>
      </c>
      <c r="L53" s="506">
        <f t="shared" ref="L53:Q53" si="38">K53+L52</f>
        <v>262220.29499999998</v>
      </c>
      <c r="M53" s="506">
        <f t="shared" si="38"/>
        <v>364627.95074999996</v>
      </c>
      <c r="N53" s="506">
        <f t="shared" si="38"/>
        <v>451674.45813749998</v>
      </c>
      <c r="O53" s="506">
        <f t="shared" si="38"/>
        <v>525663.98941687495</v>
      </c>
      <c r="P53" s="506">
        <f t="shared" si="38"/>
        <v>588555.0910043437</v>
      </c>
      <c r="Q53" s="506">
        <f t="shared" si="38"/>
        <v>642012.5273536921</v>
      </c>
    </row>
    <row r="54" spans="1:17" x14ac:dyDescent="0.25">
      <c r="A54" s="504" t="s">
        <v>195</v>
      </c>
      <c r="B54" s="504"/>
      <c r="C54" s="506">
        <f t="shared" ref="C54:I54" si="39">C51-C52</f>
        <v>832679.36560000002</v>
      </c>
      <c r="D54" s="506">
        <f t="shared" si="39"/>
        <v>720420.73120000004</v>
      </c>
      <c r="E54" s="506">
        <f t="shared" si="39"/>
        <v>608162.09680000006</v>
      </c>
      <c r="F54" s="506">
        <f t="shared" si="39"/>
        <v>495903.46240000008</v>
      </c>
      <c r="G54" s="506">
        <f t="shared" si="39"/>
        <v>383644.8280000001</v>
      </c>
      <c r="H54" s="506">
        <f t="shared" si="39"/>
        <v>271386.19360000012</v>
      </c>
      <c r="I54" s="506">
        <f t="shared" si="39"/>
        <v>159127.55920000011</v>
      </c>
      <c r="J54" s="360"/>
      <c r="K54" s="506">
        <f t="shared" ref="K54:Q54" si="40">K51-K52</f>
        <v>803197.3</v>
      </c>
      <c r="L54" s="506">
        <f t="shared" si="40"/>
        <v>682717.70500000007</v>
      </c>
      <c r="M54" s="506">
        <f t="shared" si="40"/>
        <v>580310.04925000004</v>
      </c>
      <c r="N54" s="506">
        <f t="shared" si="40"/>
        <v>493263.54186250002</v>
      </c>
      <c r="O54" s="506">
        <f t="shared" si="40"/>
        <v>419274.010583125</v>
      </c>
      <c r="P54" s="506">
        <f t="shared" si="40"/>
        <v>356382.90899565624</v>
      </c>
      <c r="Q54" s="506">
        <f t="shared" si="40"/>
        <v>302925.47264630778</v>
      </c>
    </row>
    <row r="55" spans="1:17" x14ac:dyDescent="0.25">
      <c r="A55" s="504"/>
      <c r="B55" s="504"/>
      <c r="C55" s="506"/>
      <c r="D55" s="506"/>
      <c r="E55" s="506"/>
      <c r="F55" s="506"/>
      <c r="G55" s="506"/>
      <c r="H55" s="506"/>
      <c r="I55" s="506"/>
      <c r="J55" s="360"/>
      <c r="K55" s="506"/>
      <c r="L55" s="506"/>
      <c r="M55" s="506"/>
      <c r="N55" s="506"/>
      <c r="O55" s="506"/>
      <c r="P55" s="506"/>
      <c r="Q55" s="506"/>
    </row>
    <row r="56" spans="1:17" x14ac:dyDescent="0.25">
      <c r="A56" s="507" t="s">
        <v>327</v>
      </c>
      <c r="B56" s="504"/>
      <c r="C56" s="506"/>
      <c r="D56" s="506"/>
      <c r="E56" s="506"/>
      <c r="F56" s="506"/>
      <c r="G56" s="506"/>
      <c r="H56" s="506"/>
      <c r="I56" s="506"/>
      <c r="J56" s="360"/>
      <c r="K56" s="506"/>
      <c r="L56" s="506"/>
      <c r="M56" s="506"/>
      <c r="N56" s="506"/>
      <c r="O56" s="506"/>
      <c r="P56" s="506"/>
      <c r="Q56" s="506"/>
    </row>
    <row r="57" spans="1:17" x14ac:dyDescent="0.25">
      <c r="A57" s="504" t="str">
        <f>A51</f>
        <v>Asset Value</v>
      </c>
      <c r="B57" s="504"/>
      <c r="C57" s="506">
        <f>'Cost MOF'!D8</f>
        <v>179500</v>
      </c>
      <c r="D57" s="506">
        <f t="shared" ref="D57:I57" si="41">C60</f>
        <v>161550</v>
      </c>
      <c r="E57" s="506">
        <f t="shared" si="41"/>
        <v>143600</v>
      </c>
      <c r="F57" s="506">
        <f t="shared" si="41"/>
        <v>125650</v>
      </c>
      <c r="G57" s="506">
        <f t="shared" si="41"/>
        <v>107700</v>
      </c>
      <c r="H57" s="506">
        <f t="shared" si="41"/>
        <v>89750</v>
      </c>
      <c r="I57" s="506">
        <f t="shared" si="41"/>
        <v>71800</v>
      </c>
      <c r="J57" s="360"/>
      <c r="K57" s="506">
        <f>C57</f>
        <v>179500</v>
      </c>
      <c r="L57" s="506">
        <f t="shared" ref="L57:Q57" si="42">K60</f>
        <v>107700</v>
      </c>
      <c r="M57" s="506">
        <f t="shared" si="42"/>
        <v>64620</v>
      </c>
      <c r="N57" s="506">
        <f t="shared" si="42"/>
        <v>38772</v>
      </c>
      <c r="O57" s="506">
        <f t="shared" si="42"/>
        <v>23263.199999999997</v>
      </c>
      <c r="P57" s="506">
        <f t="shared" si="42"/>
        <v>13957.919999999998</v>
      </c>
      <c r="Q57" s="506">
        <f t="shared" si="42"/>
        <v>8374.7519999999986</v>
      </c>
    </row>
    <row r="58" spans="1:17" x14ac:dyDescent="0.25">
      <c r="A58" s="504" t="str">
        <f>A52</f>
        <v>Depreciation</v>
      </c>
      <c r="B58" s="504"/>
      <c r="C58" s="506">
        <f t="shared" ref="C58:I58" si="43">$C$57*$B$72</f>
        <v>17950</v>
      </c>
      <c r="D58" s="506">
        <f t="shared" si="43"/>
        <v>17950</v>
      </c>
      <c r="E58" s="506">
        <f t="shared" si="43"/>
        <v>17950</v>
      </c>
      <c r="F58" s="506">
        <f t="shared" si="43"/>
        <v>17950</v>
      </c>
      <c r="G58" s="506">
        <f t="shared" si="43"/>
        <v>17950</v>
      </c>
      <c r="H58" s="506">
        <f t="shared" si="43"/>
        <v>17950</v>
      </c>
      <c r="I58" s="506">
        <f t="shared" si="43"/>
        <v>17950</v>
      </c>
      <c r="J58" s="360"/>
      <c r="K58" s="506">
        <f t="shared" ref="K58:Q58" si="44">K57*$C$72</f>
        <v>71800</v>
      </c>
      <c r="L58" s="506">
        <f t="shared" si="44"/>
        <v>43080</v>
      </c>
      <c r="M58" s="506">
        <f t="shared" si="44"/>
        <v>25848</v>
      </c>
      <c r="N58" s="506">
        <f t="shared" si="44"/>
        <v>15508.800000000001</v>
      </c>
      <c r="O58" s="506">
        <f t="shared" si="44"/>
        <v>9305.2799999999988</v>
      </c>
      <c r="P58" s="506">
        <f t="shared" si="44"/>
        <v>5583.1679999999997</v>
      </c>
      <c r="Q58" s="506">
        <f t="shared" si="44"/>
        <v>3349.9007999999994</v>
      </c>
    </row>
    <row r="59" spans="1:17" x14ac:dyDescent="0.25">
      <c r="A59" s="504" t="str">
        <f>A53</f>
        <v>Accumulated Depreciation</v>
      </c>
      <c r="B59" s="504"/>
      <c r="C59" s="506">
        <f>C58</f>
        <v>17950</v>
      </c>
      <c r="D59" s="506">
        <f t="shared" ref="D59:I59" si="45">D58+C59</f>
        <v>35900</v>
      </c>
      <c r="E59" s="506">
        <f t="shared" si="45"/>
        <v>53850</v>
      </c>
      <c r="F59" s="506">
        <f t="shared" si="45"/>
        <v>71800</v>
      </c>
      <c r="G59" s="506">
        <f t="shared" si="45"/>
        <v>89750</v>
      </c>
      <c r="H59" s="506">
        <f t="shared" si="45"/>
        <v>107700</v>
      </c>
      <c r="I59" s="506">
        <f t="shared" si="45"/>
        <v>125650</v>
      </c>
      <c r="J59" s="360"/>
      <c r="K59" s="506">
        <f>K58</f>
        <v>71800</v>
      </c>
      <c r="L59" s="506">
        <f t="shared" ref="L59:Q59" si="46">L58+K59</f>
        <v>114880</v>
      </c>
      <c r="M59" s="506">
        <f t="shared" si="46"/>
        <v>140728</v>
      </c>
      <c r="N59" s="506">
        <f t="shared" si="46"/>
        <v>156236.79999999999</v>
      </c>
      <c r="O59" s="506">
        <f t="shared" si="46"/>
        <v>165542.07999999999</v>
      </c>
      <c r="P59" s="506">
        <f t="shared" si="46"/>
        <v>171125.24799999999</v>
      </c>
      <c r="Q59" s="506">
        <f t="shared" si="46"/>
        <v>174475.1488</v>
      </c>
    </row>
    <row r="60" spans="1:17" x14ac:dyDescent="0.25">
      <c r="A60" s="504" t="str">
        <f>A54</f>
        <v>Net Fixed Assets</v>
      </c>
      <c r="B60" s="504"/>
      <c r="C60" s="506">
        <f t="shared" ref="C60:I60" si="47">C57-C58</f>
        <v>161550</v>
      </c>
      <c r="D60" s="506">
        <f t="shared" si="47"/>
        <v>143600</v>
      </c>
      <c r="E60" s="506">
        <f t="shared" si="47"/>
        <v>125650</v>
      </c>
      <c r="F60" s="506">
        <f t="shared" si="47"/>
        <v>107700</v>
      </c>
      <c r="G60" s="506">
        <f t="shared" si="47"/>
        <v>89750</v>
      </c>
      <c r="H60" s="506">
        <f t="shared" si="47"/>
        <v>71800</v>
      </c>
      <c r="I60" s="506">
        <f t="shared" si="47"/>
        <v>53850</v>
      </c>
      <c r="J60" s="360"/>
      <c r="K60" s="506">
        <f t="shared" ref="K60:Q60" si="48">K57-K58</f>
        <v>107700</v>
      </c>
      <c r="L60" s="506">
        <f t="shared" si="48"/>
        <v>64620</v>
      </c>
      <c r="M60" s="506">
        <f t="shared" si="48"/>
        <v>38772</v>
      </c>
      <c r="N60" s="506">
        <f t="shared" si="48"/>
        <v>23263.199999999997</v>
      </c>
      <c r="O60" s="506">
        <f t="shared" si="48"/>
        <v>13957.919999999998</v>
      </c>
      <c r="P60" s="506">
        <f t="shared" si="48"/>
        <v>8374.7519999999986</v>
      </c>
      <c r="Q60" s="506">
        <f t="shared" si="48"/>
        <v>5024.8511999999992</v>
      </c>
    </row>
    <row r="61" spans="1:17" x14ac:dyDescent="0.25">
      <c r="A61" s="505" t="s">
        <v>199</v>
      </c>
      <c r="B61" s="505"/>
      <c r="C61" s="508">
        <f t="shared" ref="C61:I64" si="49">C45+C39+C33+C51+C57</f>
        <v>17267538</v>
      </c>
      <c r="D61" s="508">
        <f t="shared" si="49"/>
        <v>16332914.455599999</v>
      </c>
      <c r="E61" s="508">
        <f t="shared" si="49"/>
        <v>15398290.9112</v>
      </c>
      <c r="F61" s="508">
        <f t="shared" si="49"/>
        <v>14463667.366799999</v>
      </c>
      <c r="G61" s="508">
        <f t="shared" si="49"/>
        <v>13529043.8224</v>
      </c>
      <c r="H61" s="508">
        <f t="shared" si="49"/>
        <v>12594420.277999999</v>
      </c>
      <c r="I61" s="508">
        <f t="shared" si="49"/>
        <v>11659796.7336</v>
      </c>
      <c r="J61" s="360"/>
      <c r="K61" s="508">
        <f t="shared" ref="K61:Q64" si="50">K45+K39+K33+K51+K57</f>
        <v>17267538</v>
      </c>
      <c r="L61" s="508">
        <f t="shared" si="50"/>
        <v>15009052.300000001</v>
      </c>
      <c r="M61" s="508">
        <f t="shared" si="50"/>
        <v>13069637.455</v>
      </c>
      <c r="N61" s="508">
        <f t="shared" si="50"/>
        <v>11398018.03675</v>
      </c>
      <c r="O61" s="508">
        <f t="shared" si="50"/>
        <v>9953105.4112375006</v>
      </c>
      <c r="P61" s="508">
        <f t="shared" si="50"/>
        <v>8701358.5715518743</v>
      </c>
      <c r="Q61" s="508">
        <f t="shared" si="50"/>
        <v>7614996.6006190944</v>
      </c>
    </row>
    <row r="62" spans="1:17" x14ac:dyDescent="0.25">
      <c r="A62" s="505" t="s">
        <v>200</v>
      </c>
      <c r="B62" s="505"/>
      <c r="C62" s="508">
        <f t="shared" si="49"/>
        <v>934623.5443999999</v>
      </c>
      <c r="D62" s="508">
        <f t="shared" si="49"/>
        <v>934623.5443999999</v>
      </c>
      <c r="E62" s="508">
        <f t="shared" si="49"/>
        <v>934623.5443999999</v>
      </c>
      <c r="F62" s="508">
        <f t="shared" si="49"/>
        <v>934623.5443999999</v>
      </c>
      <c r="G62" s="508">
        <f t="shared" si="49"/>
        <v>934623.5443999999</v>
      </c>
      <c r="H62" s="508">
        <f t="shared" si="49"/>
        <v>934623.5443999999</v>
      </c>
      <c r="I62" s="508">
        <f t="shared" si="49"/>
        <v>934623.5443999999</v>
      </c>
      <c r="J62" s="360"/>
      <c r="K62" s="508">
        <f t="shared" si="50"/>
        <v>2258485.7000000002</v>
      </c>
      <c r="L62" s="508">
        <f t="shared" si="50"/>
        <v>1939414.845</v>
      </c>
      <c r="M62" s="508">
        <f t="shared" si="50"/>
        <v>1671619.4182499999</v>
      </c>
      <c r="N62" s="508">
        <f t="shared" si="50"/>
        <v>1444912.6255125001</v>
      </c>
      <c r="O62" s="508">
        <f t="shared" si="50"/>
        <v>1251746.8396856249</v>
      </c>
      <c r="P62" s="508">
        <f t="shared" si="50"/>
        <v>1086361.9709327812</v>
      </c>
      <c r="Q62" s="508">
        <f t="shared" si="50"/>
        <v>944245.01277286396</v>
      </c>
    </row>
    <row r="63" spans="1:17" x14ac:dyDescent="0.25">
      <c r="A63" s="505" t="s">
        <v>201</v>
      </c>
      <c r="B63" s="505"/>
      <c r="C63" s="508">
        <f t="shared" si="49"/>
        <v>934623.5443999999</v>
      </c>
      <c r="D63" s="508">
        <f t="shared" si="49"/>
        <v>1869247.0887999998</v>
      </c>
      <c r="E63" s="508">
        <f t="shared" si="49"/>
        <v>2803870.6331999996</v>
      </c>
      <c r="F63" s="508">
        <f t="shared" si="49"/>
        <v>3738494.1775999996</v>
      </c>
      <c r="G63" s="508">
        <f t="shared" si="49"/>
        <v>4673117.7220000001</v>
      </c>
      <c r="H63" s="508">
        <f t="shared" si="49"/>
        <v>5607741.2664000001</v>
      </c>
      <c r="I63" s="508">
        <f t="shared" si="49"/>
        <v>6542364.8108000001</v>
      </c>
      <c r="J63" s="360"/>
      <c r="K63" s="508">
        <f t="shared" si="50"/>
        <v>2258485.7000000002</v>
      </c>
      <c r="L63" s="508">
        <f t="shared" si="50"/>
        <v>4197900.5449999999</v>
      </c>
      <c r="M63" s="508">
        <f t="shared" si="50"/>
        <v>5869519.9632499991</v>
      </c>
      <c r="N63" s="508">
        <f t="shared" si="50"/>
        <v>7314432.5887624994</v>
      </c>
      <c r="O63" s="508">
        <f t="shared" si="50"/>
        <v>8566179.4284481239</v>
      </c>
      <c r="P63" s="508">
        <f t="shared" si="50"/>
        <v>9652541.3993809056</v>
      </c>
      <c r="Q63" s="508">
        <f t="shared" si="50"/>
        <v>10596786.412153769</v>
      </c>
    </row>
    <row r="64" spans="1:17" x14ac:dyDescent="0.25">
      <c r="A64" s="505" t="s">
        <v>195</v>
      </c>
      <c r="B64" s="505"/>
      <c r="C64" s="508">
        <f t="shared" si="49"/>
        <v>16332914.455599999</v>
      </c>
      <c r="D64" s="508">
        <f t="shared" si="49"/>
        <v>15398290.9112</v>
      </c>
      <c r="E64" s="508">
        <f t="shared" si="49"/>
        <v>14463667.366799999</v>
      </c>
      <c r="F64" s="508">
        <f t="shared" si="49"/>
        <v>13529043.8224</v>
      </c>
      <c r="G64" s="508">
        <f t="shared" si="49"/>
        <v>12594420.277999999</v>
      </c>
      <c r="H64" s="508">
        <f t="shared" si="49"/>
        <v>11659796.7336</v>
      </c>
      <c r="I64" s="508">
        <f t="shared" si="49"/>
        <v>10725173.189199999</v>
      </c>
      <c r="J64" s="360"/>
      <c r="K64" s="508">
        <f t="shared" si="50"/>
        <v>15009052.300000001</v>
      </c>
      <c r="L64" s="508">
        <f t="shared" si="50"/>
        <v>13069637.455</v>
      </c>
      <c r="M64" s="508">
        <f t="shared" si="50"/>
        <v>11398018.03675</v>
      </c>
      <c r="N64" s="508">
        <f t="shared" si="50"/>
        <v>9953105.4112375006</v>
      </c>
      <c r="O64" s="508">
        <f t="shared" si="50"/>
        <v>8701358.5715518743</v>
      </c>
      <c r="P64" s="508">
        <f t="shared" si="50"/>
        <v>7614996.6006190944</v>
      </c>
      <c r="Q64" s="508">
        <f t="shared" si="50"/>
        <v>6670751.5878462307</v>
      </c>
    </row>
    <row r="65" spans="1:10" x14ac:dyDescent="0.25">
      <c r="A65" s="349"/>
      <c r="B65" s="349"/>
      <c r="C65" s="509"/>
      <c r="D65" s="509"/>
      <c r="E65" s="509"/>
      <c r="F65" s="509"/>
      <c r="G65" s="509"/>
      <c r="H65" s="509"/>
      <c r="I65" s="509"/>
    </row>
    <row r="67" spans="1:10" ht="30" x14ac:dyDescent="0.25">
      <c r="A67" s="510" t="s">
        <v>202</v>
      </c>
      <c r="B67" s="511" t="s">
        <v>203</v>
      </c>
      <c r="C67" s="512" t="s">
        <v>204</v>
      </c>
    </row>
    <row r="68" spans="1:10" ht="30" x14ac:dyDescent="0.25">
      <c r="A68" s="513" t="s">
        <v>205</v>
      </c>
      <c r="B68" s="511" t="s">
        <v>206</v>
      </c>
      <c r="C68" s="512" t="s">
        <v>207</v>
      </c>
    </row>
    <row r="69" spans="1:10" x14ac:dyDescent="0.25">
      <c r="A69" s="513" t="s">
        <v>144</v>
      </c>
      <c r="B69" s="514">
        <v>0</v>
      </c>
      <c r="C69" s="514">
        <v>0</v>
      </c>
    </row>
    <row r="70" spans="1:10" x14ac:dyDescent="0.25">
      <c r="A70" s="515" t="s">
        <v>196</v>
      </c>
      <c r="B70" s="514">
        <v>3.1699999999999999E-2</v>
      </c>
      <c r="C70" s="514">
        <v>0.1</v>
      </c>
      <c r="D70" s="346"/>
    </row>
    <row r="71" spans="1:10" x14ac:dyDescent="0.25">
      <c r="A71" s="515" t="s">
        <v>198</v>
      </c>
      <c r="B71" s="516">
        <v>0.1</v>
      </c>
      <c r="C71" s="514">
        <v>0.1</v>
      </c>
    </row>
    <row r="72" spans="1:10" x14ac:dyDescent="0.25">
      <c r="A72" s="192" t="s">
        <v>208</v>
      </c>
      <c r="B72" s="516">
        <v>0.1</v>
      </c>
      <c r="C72" s="516">
        <v>0.4</v>
      </c>
    </row>
    <row r="73" spans="1:10" x14ac:dyDescent="0.25">
      <c r="A73" s="192" t="s">
        <v>272</v>
      </c>
      <c r="B73" s="516">
        <v>0.1188</v>
      </c>
      <c r="C73" s="516">
        <v>0.15</v>
      </c>
    </row>
    <row r="74" spans="1:10" x14ac:dyDescent="0.25">
      <c r="A74" s="515" t="s">
        <v>209</v>
      </c>
      <c r="B74" s="516">
        <v>6.3299999999999995E-2</v>
      </c>
      <c r="C74" s="516">
        <v>0.15</v>
      </c>
    </row>
    <row r="75" spans="1:10" ht="30" x14ac:dyDescent="0.25">
      <c r="A75" s="513" t="s">
        <v>202</v>
      </c>
      <c r="B75" s="514"/>
      <c r="C75" s="336"/>
    </row>
    <row r="76" spans="1:10" x14ac:dyDescent="0.25">
      <c r="A76" s="515" t="s">
        <v>210</v>
      </c>
      <c r="B76" s="336">
        <v>0.2</v>
      </c>
      <c r="C76" s="517">
        <v>0.2</v>
      </c>
    </row>
    <row r="78" spans="1:10" x14ac:dyDescent="0.25">
      <c r="E78" s="420"/>
    </row>
    <row r="79" spans="1:10" s="448" customFormat="1" x14ac:dyDescent="0.25">
      <c r="A79" s="565" t="s">
        <v>540</v>
      </c>
      <c r="B79" s="565"/>
      <c r="C79" s="565"/>
      <c r="D79" s="565"/>
      <c r="E79" s="565"/>
      <c r="F79" s="565"/>
      <c r="G79" s="565"/>
      <c r="H79" s="565"/>
      <c r="I79" s="565"/>
      <c r="J79" s="565"/>
    </row>
    <row r="80" spans="1:10" s="448" customFormat="1" x14ac:dyDescent="0.25">
      <c r="A80" s="518"/>
      <c r="B80" s="518"/>
    </row>
    <row r="81" spans="1:12" s="448" customFormat="1" x14ac:dyDescent="0.25">
      <c r="A81" s="273" t="s">
        <v>0</v>
      </c>
      <c r="B81" s="274" t="s">
        <v>336</v>
      </c>
      <c r="C81" s="519" t="s">
        <v>2</v>
      </c>
      <c r="D81" s="519" t="s">
        <v>3</v>
      </c>
      <c r="E81" s="519" t="s">
        <v>4</v>
      </c>
      <c r="F81" s="519" t="s">
        <v>5</v>
      </c>
      <c r="G81" s="519" t="s">
        <v>6</v>
      </c>
      <c r="H81" s="519" t="s">
        <v>165</v>
      </c>
      <c r="I81" s="519" t="s">
        <v>164</v>
      </c>
      <c r="J81" s="520"/>
      <c r="K81" s="520"/>
      <c r="L81" s="520"/>
    </row>
    <row r="82" spans="1:12" s="448" customFormat="1" x14ac:dyDescent="0.25">
      <c r="A82" s="275" t="s">
        <v>250</v>
      </c>
      <c r="B82" s="276">
        <v>5</v>
      </c>
      <c r="C82" s="521">
        <f>'Cost MOF'!$D$10/5</f>
        <v>100000</v>
      </c>
      <c r="D82" s="521">
        <f>'Cost MOF'!$D$10/5</f>
        <v>100000</v>
      </c>
      <c r="E82" s="521">
        <f>'Cost MOF'!$D$10/5</f>
        <v>100000</v>
      </c>
      <c r="F82" s="521">
        <f>'Cost MOF'!$D$10/5</f>
        <v>100000</v>
      </c>
      <c r="G82" s="521">
        <f>'Cost MOF'!$D$10/5</f>
        <v>100000</v>
      </c>
      <c r="H82" s="521">
        <v>0</v>
      </c>
      <c r="I82" s="521">
        <v>0</v>
      </c>
      <c r="J82" s="520"/>
      <c r="K82" s="520"/>
      <c r="L82" s="520"/>
    </row>
    <row r="83" spans="1:12" s="448" customFormat="1" x14ac:dyDescent="0.25">
      <c r="A83" s="275" t="s">
        <v>337</v>
      </c>
      <c r="B83" s="446"/>
      <c r="C83" s="522">
        <f t="shared" ref="C83:I83" si="51">SUM(C81:C82)</f>
        <v>100000</v>
      </c>
      <c r="D83" s="522">
        <f t="shared" si="51"/>
        <v>100000</v>
      </c>
      <c r="E83" s="522">
        <f t="shared" si="51"/>
        <v>100000</v>
      </c>
      <c r="F83" s="522">
        <f t="shared" si="51"/>
        <v>100000</v>
      </c>
      <c r="G83" s="522">
        <f t="shared" si="51"/>
        <v>100000</v>
      </c>
      <c r="H83" s="522">
        <f t="shared" si="51"/>
        <v>0</v>
      </c>
      <c r="I83" s="522">
        <f t="shared" si="51"/>
        <v>0</v>
      </c>
      <c r="J83" s="523"/>
      <c r="K83" s="523"/>
      <c r="L83" s="523"/>
    </row>
    <row r="84" spans="1:12" s="448" customFormat="1" x14ac:dyDescent="0.25">
      <c r="C84" s="520"/>
      <c r="D84" s="520"/>
      <c r="E84" s="520"/>
      <c r="F84" s="520"/>
      <c r="G84" s="520"/>
      <c r="H84" s="520"/>
      <c r="I84" s="520"/>
      <c r="J84" s="520"/>
      <c r="K84" s="520"/>
      <c r="L84" s="520"/>
    </row>
    <row r="87" spans="1:12" x14ac:dyDescent="0.25">
      <c r="A87" s="524"/>
      <c r="B87" s="237"/>
      <c r="C87" s="237"/>
      <c r="D87" s="237"/>
      <c r="E87" s="237"/>
      <c r="F87" s="237"/>
      <c r="G87" s="237"/>
      <c r="H87" s="237"/>
      <c r="I87" s="237"/>
      <c r="J87" s="237"/>
      <c r="K87" s="237"/>
    </row>
    <row r="88" spans="1:12" x14ac:dyDescent="0.25">
      <c r="A88" s="570" t="s">
        <v>541</v>
      </c>
      <c r="B88" s="570"/>
      <c r="C88" s="570"/>
      <c r="D88" s="570"/>
      <c r="E88" s="570"/>
      <c r="F88" s="570"/>
      <c r="G88" s="570"/>
      <c r="H88" s="570"/>
      <c r="I88" s="525"/>
      <c r="J88" s="525"/>
      <c r="K88" s="525"/>
    </row>
    <row r="89" spans="1:12" x14ac:dyDescent="0.25">
      <c r="A89" s="518"/>
      <c r="B89" s="237"/>
      <c r="C89" s="237"/>
      <c r="D89" s="237"/>
      <c r="E89" s="237"/>
      <c r="F89" s="237"/>
      <c r="G89" s="237"/>
      <c r="H89" s="237"/>
      <c r="I89" s="237"/>
      <c r="J89" s="237"/>
      <c r="K89" s="237"/>
    </row>
    <row r="90" spans="1:12" x14ac:dyDescent="0.25">
      <c r="A90" s="363" t="s">
        <v>0</v>
      </c>
      <c r="B90" s="364" t="s">
        <v>2</v>
      </c>
      <c r="C90" s="364" t="s">
        <v>3</v>
      </c>
      <c r="D90" s="364" t="s">
        <v>4</v>
      </c>
      <c r="E90" s="364" t="s">
        <v>5</v>
      </c>
      <c r="F90" s="364" t="s">
        <v>6</v>
      </c>
      <c r="G90" s="364" t="s">
        <v>165</v>
      </c>
      <c r="H90" s="364" t="s">
        <v>164</v>
      </c>
      <c r="I90" s="526"/>
      <c r="J90" s="526"/>
      <c r="K90" s="526"/>
    </row>
    <row r="91" spans="1:12" x14ac:dyDescent="0.25">
      <c r="A91" s="433" t="s">
        <v>223</v>
      </c>
      <c r="B91" s="277">
        <f>PL!B43</f>
        <v>2332332.430213918</v>
      </c>
      <c r="C91" s="277">
        <f>PL!C43</f>
        <v>2764757.0948968329</v>
      </c>
      <c r="D91" s="277">
        <f>PL!D43</f>
        <v>3711120.9142394615</v>
      </c>
      <c r="E91" s="277">
        <f>PL!E43</f>
        <v>4748618.5852596788</v>
      </c>
      <c r="F91" s="277">
        <f>PL!F43</f>
        <v>5763899.432692647</v>
      </c>
      <c r="G91" s="277">
        <f>PL!G43</f>
        <v>6795556.2465858357</v>
      </c>
      <c r="H91" s="277">
        <f>PL!H43</f>
        <v>7805198.1902814833</v>
      </c>
      <c r="I91" s="278"/>
      <c r="J91" s="278"/>
      <c r="K91" s="278"/>
    </row>
    <row r="92" spans="1:12" x14ac:dyDescent="0.25">
      <c r="A92" s="433" t="s">
        <v>224</v>
      </c>
      <c r="B92" s="277">
        <f>PL!B36</f>
        <v>934623.5443999999</v>
      </c>
      <c r="C92" s="277">
        <f>PL!C36</f>
        <v>934623.5443999999</v>
      </c>
      <c r="D92" s="277">
        <f>PL!D36</f>
        <v>934623.5443999999</v>
      </c>
      <c r="E92" s="277">
        <f>PL!E36</f>
        <v>934623.5443999999</v>
      </c>
      <c r="F92" s="277">
        <f>PL!F36</f>
        <v>934623.5443999999</v>
      </c>
      <c r="G92" s="277">
        <f>PL!G36</f>
        <v>934623.5443999999</v>
      </c>
      <c r="H92" s="277">
        <f>PL!H36</f>
        <v>934623.5443999999</v>
      </c>
      <c r="I92" s="278"/>
      <c r="J92" s="278"/>
      <c r="K92" s="278"/>
    </row>
    <row r="93" spans="1:12" x14ac:dyDescent="0.25">
      <c r="A93" s="433" t="s">
        <v>225</v>
      </c>
      <c r="B93" s="277">
        <f>Other!K62</f>
        <v>2258485.7000000002</v>
      </c>
      <c r="C93" s="277">
        <f>Other!L62</f>
        <v>1939414.845</v>
      </c>
      <c r="D93" s="277">
        <f>Other!M62</f>
        <v>1671619.4182499999</v>
      </c>
      <c r="E93" s="277">
        <f>Other!N62</f>
        <v>1444912.6255125001</v>
      </c>
      <c r="F93" s="277">
        <f>Other!O62</f>
        <v>1251746.8396856249</v>
      </c>
      <c r="G93" s="277">
        <f>Other!P62</f>
        <v>1086361.9709327812</v>
      </c>
      <c r="H93" s="277">
        <f>Other!Q62</f>
        <v>944245.01277286396</v>
      </c>
      <c r="I93" s="278"/>
      <c r="J93" s="278"/>
      <c r="K93" s="278"/>
    </row>
    <row r="94" spans="1:12" x14ac:dyDescent="0.25">
      <c r="A94" s="433" t="s">
        <v>285</v>
      </c>
      <c r="B94" s="277">
        <f>B91+B92-B93</f>
        <v>1008470.2746139178</v>
      </c>
      <c r="C94" s="277">
        <f t="shared" ref="C94:H94" si="52">C91+C92-C93</f>
        <v>1759965.794296833</v>
      </c>
      <c r="D94" s="277">
        <f t="shared" si="52"/>
        <v>2974125.0403894614</v>
      </c>
      <c r="E94" s="277">
        <f t="shared" si="52"/>
        <v>4238329.5041471785</v>
      </c>
      <c r="F94" s="277">
        <f t="shared" si="52"/>
        <v>5446776.1374070216</v>
      </c>
      <c r="G94" s="277">
        <f t="shared" si="52"/>
        <v>6643817.820053054</v>
      </c>
      <c r="H94" s="277">
        <f t="shared" si="52"/>
        <v>7795576.7219086196</v>
      </c>
      <c r="I94" s="278"/>
      <c r="J94" s="278"/>
      <c r="K94" s="278"/>
    </row>
    <row r="95" spans="1:12" x14ac:dyDescent="0.25">
      <c r="A95" s="435" t="s">
        <v>226</v>
      </c>
      <c r="B95" s="279">
        <f>IF((B94*$B$98)&gt;0,B94*$B$98,0)</f>
        <v>262202.27139961865</v>
      </c>
      <c r="C95" s="279">
        <f t="shared" ref="C95:H95" si="53">IF((C94*$B$98)&gt;0,C94*$B$98,0)</f>
        <v>457591.10651717661</v>
      </c>
      <c r="D95" s="279">
        <f t="shared" si="53"/>
        <v>773272.51050126005</v>
      </c>
      <c r="E95" s="279">
        <f t="shared" si="53"/>
        <v>1101965.6710782663</v>
      </c>
      <c r="F95" s="279">
        <f t="shared" si="53"/>
        <v>1416161.7957258257</v>
      </c>
      <c r="G95" s="279">
        <f t="shared" si="53"/>
        <v>1727392.6332137941</v>
      </c>
      <c r="H95" s="279">
        <f t="shared" si="53"/>
        <v>2026849.9476962411</v>
      </c>
      <c r="I95" s="278"/>
      <c r="J95" s="278"/>
      <c r="K95" s="278"/>
    </row>
    <row r="96" spans="1:12" x14ac:dyDescent="0.25">
      <c r="A96" s="527"/>
      <c r="B96" s="237"/>
      <c r="C96" s="237"/>
      <c r="D96" s="237"/>
      <c r="E96" s="237"/>
      <c r="F96" s="237"/>
      <c r="G96" s="237"/>
      <c r="H96" s="237"/>
      <c r="I96" s="237"/>
      <c r="J96" s="237"/>
      <c r="K96" s="237"/>
    </row>
    <row r="97" spans="1:11" x14ac:dyDescent="0.25">
      <c r="A97" s="527"/>
      <c r="B97" s="520"/>
      <c r="C97" s="520"/>
      <c r="D97" s="520"/>
      <c r="E97" s="520"/>
      <c r="F97" s="520"/>
      <c r="G97" s="520"/>
      <c r="H97" s="520"/>
      <c r="I97" s="520"/>
      <c r="J97" s="520"/>
      <c r="K97" s="520"/>
    </row>
    <row r="98" spans="1:11" x14ac:dyDescent="0.25">
      <c r="A98" s="528" t="s">
        <v>385</v>
      </c>
      <c r="B98" s="529">
        <v>0.26</v>
      </c>
      <c r="C98" s="520"/>
      <c r="D98" s="520"/>
      <c r="E98" s="520"/>
      <c r="F98" s="520"/>
      <c r="G98" s="520"/>
      <c r="H98" s="520"/>
      <c r="I98" s="520"/>
      <c r="J98" s="520"/>
      <c r="K98" s="520"/>
    </row>
    <row r="99" spans="1:11" x14ac:dyDescent="0.25">
      <c r="A99" s="237"/>
      <c r="B99" s="237"/>
      <c r="C99" s="237"/>
      <c r="D99" s="237"/>
      <c r="E99" s="237"/>
      <c r="F99" s="237"/>
      <c r="G99" s="237"/>
      <c r="H99" s="237"/>
      <c r="I99" s="237"/>
      <c r="J99" s="237"/>
      <c r="K99" s="237"/>
    </row>
    <row r="100" spans="1:11" ht="29.1" customHeight="1" x14ac:dyDescent="0.25">
      <c r="A100" s="566" t="s">
        <v>416</v>
      </c>
      <c r="B100" s="566"/>
      <c r="C100" s="566"/>
      <c r="D100" s="566"/>
      <c r="E100" s="566"/>
      <c r="F100" s="566"/>
      <c r="G100" s="566"/>
      <c r="H100" s="566"/>
      <c r="I100" s="509"/>
      <c r="J100" s="509"/>
      <c r="K100" s="509"/>
    </row>
  </sheetData>
  <mergeCells count="8">
    <mergeCell ref="A79:J79"/>
    <mergeCell ref="A88:H88"/>
    <mergeCell ref="A100:H100"/>
    <mergeCell ref="A2:K2"/>
    <mergeCell ref="A24:O24"/>
    <mergeCell ref="C27:I27"/>
    <mergeCell ref="K27:Q27"/>
    <mergeCell ref="A25:Q25"/>
  </mergeCells>
  <pageMargins left="0.38" right="0.3"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SheetLayoutView="100" workbookViewId="0">
      <selection activeCell="A9" sqref="A9:G57"/>
    </sheetView>
  </sheetViews>
  <sheetFormatPr defaultColWidth="8.7109375" defaultRowHeight="15" x14ac:dyDescent="0.25"/>
  <cols>
    <col min="1" max="1" width="8.7109375" style="192"/>
    <col min="2" max="2" width="15.42578125" style="192" customWidth="1"/>
    <col min="3" max="3" width="28.140625" style="192" bestFit="1" customWidth="1"/>
    <col min="4" max="4" width="14.7109375" style="192" customWidth="1"/>
    <col min="5" max="5" width="25.85546875" style="192" bestFit="1" customWidth="1"/>
    <col min="6" max="6" width="12.140625" style="192" customWidth="1"/>
    <col min="7" max="7" width="27.28515625" style="192" bestFit="1" customWidth="1"/>
    <col min="8" max="8" width="12.28515625" style="192" bestFit="1" customWidth="1"/>
    <col min="9" max="9" width="11.7109375" style="192" bestFit="1" customWidth="1"/>
    <col min="10" max="16384" width="8.7109375" style="192"/>
  </cols>
  <sheetData>
    <row r="2" spans="1:7" ht="14.45" x14ac:dyDescent="0.35">
      <c r="A2" s="563" t="s">
        <v>542</v>
      </c>
      <c r="B2" s="563"/>
      <c r="C2" s="563"/>
      <c r="D2" s="563"/>
      <c r="E2" s="563"/>
      <c r="F2" s="563"/>
      <c r="G2" s="572"/>
    </row>
    <row r="3" spans="1:7" ht="14.45" x14ac:dyDescent="0.35">
      <c r="B3" s="361"/>
      <c r="C3" s="361"/>
      <c r="D3" s="361"/>
      <c r="E3" s="361"/>
      <c r="F3" s="361"/>
      <c r="G3" s="361"/>
    </row>
    <row r="4" spans="1:7" ht="14.45" x14ac:dyDescent="0.35">
      <c r="C4" s="195" t="s">
        <v>454</v>
      </c>
      <c r="D4" s="540">
        <f>'Cost MOF'!E20</f>
        <v>6069848</v>
      </c>
    </row>
    <row r="5" spans="1:7" ht="14.45" x14ac:dyDescent="0.35">
      <c r="C5" s="195" t="s">
        <v>455</v>
      </c>
      <c r="D5" s="541">
        <v>0.12</v>
      </c>
    </row>
    <row r="6" spans="1:7" ht="14.45" x14ac:dyDescent="0.35">
      <c r="C6" s="195" t="s">
        <v>456</v>
      </c>
      <c r="D6" s="542">
        <v>4</v>
      </c>
    </row>
    <row r="7" spans="1:7" ht="14.45" x14ac:dyDescent="0.35">
      <c r="C7" s="195" t="s">
        <v>457</v>
      </c>
      <c r="D7" s="542">
        <v>6</v>
      </c>
    </row>
    <row r="8" spans="1:7" ht="14.45" x14ac:dyDescent="0.35">
      <c r="C8" s="192" t="s">
        <v>22</v>
      </c>
      <c r="D8" s="494">
        <f>PMT(D5/12,(D6-(D7/12))*12,-D4)</f>
        <v>177698.60014092672</v>
      </c>
      <c r="E8" s="494"/>
      <c r="F8" s="495"/>
    </row>
    <row r="9" spans="1:7" ht="14.45" x14ac:dyDescent="0.35">
      <c r="A9" s="363" t="s">
        <v>286</v>
      </c>
      <c r="B9" s="496" t="s">
        <v>18</v>
      </c>
      <c r="C9" s="497" t="s">
        <v>19</v>
      </c>
      <c r="D9" s="497" t="s">
        <v>20</v>
      </c>
      <c r="E9" s="497" t="s">
        <v>21</v>
      </c>
      <c r="F9" s="497" t="s">
        <v>22</v>
      </c>
      <c r="G9" s="497" t="s">
        <v>23</v>
      </c>
    </row>
    <row r="10" spans="1:7" ht="14.45" x14ac:dyDescent="0.35">
      <c r="A10" s="312" t="s">
        <v>11</v>
      </c>
      <c r="B10" s="312" t="s">
        <v>51</v>
      </c>
      <c r="C10" s="340">
        <f>D4</f>
        <v>6069848</v>
      </c>
      <c r="D10" s="340">
        <f>C10*$D$5/12</f>
        <v>60698.48</v>
      </c>
      <c r="E10" s="340">
        <v>0</v>
      </c>
      <c r="F10" s="340">
        <v>0</v>
      </c>
      <c r="G10" s="340">
        <f>+C10+D10</f>
        <v>6130546.4800000004</v>
      </c>
    </row>
    <row r="11" spans="1:7" ht="14.45" x14ac:dyDescent="0.35">
      <c r="A11" s="312"/>
      <c r="B11" s="312" t="s">
        <v>52</v>
      </c>
      <c r="C11" s="340">
        <f>C10</f>
        <v>6069848</v>
      </c>
      <c r="D11" s="340">
        <f t="shared" ref="D11:D41" si="0">C11*$D$5/12</f>
        <v>60698.48</v>
      </c>
      <c r="E11" s="340">
        <v>0</v>
      </c>
      <c r="F11" s="340">
        <v>0</v>
      </c>
      <c r="G11" s="340">
        <f t="shared" ref="G11:G15" si="1">+C11+D11</f>
        <v>6130546.4800000004</v>
      </c>
    </row>
    <row r="12" spans="1:7" ht="14.45" x14ac:dyDescent="0.35">
      <c r="A12" s="312"/>
      <c r="B12" s="312" t="s">
        <v>53</v>
      </c>
      <c r="C12" s="340">
        <f t="shared" ref="C12:C15" si="2">C11</f>
        <v>6069848</v>
      </c>
      <c r="D12" s="340">
        <f t="shared" si="0"/>
        <v>60698.48</v>
      </c>
      <c r="E12" s="340">
        <v>0</v>
      </c>
      <c r="F12" s="340">
        <v>0</v>
      </c>
      <c r="G12" s="340">
        <f t="shared" si="1"/>
        <v>6130546.4800000004</v>
      </c>
    </row>
    <row r="13" spans="1:7" ht="14.45" x14ac:dyDescent="0.35">
      <c r="A13" s="312"/>
      <c r="B13" s="312" t="s">
        <v>54</v>
      </c>
      <c r="C13" s="340">
        <f t="shared" si="2"/>
        <v>6069848</v>
      </c>
      <c r="D13" s="340">
        <f t="shared" si="0"/>
        <v>60698.48</v>
      </c>
      <c r="E13" s="340">
        <v>0</v>
      </c>
      <c r="F13" s="340">
        <v>0</v>
      </c>
      <c r="G13" s="340">
        <f t="shared" si="1"/>
        <v>6130546.4800000004</v>
      </c>
    </row>
    <row r="14" spans="1:7" ht="14.45" x14ac:dyDescent="0.35">
      <c r="A14" s="312"/>
      <c r="B14" s="312" t="s">
        <v>55</v>
      </c>
      <c r="C14" s="340">
        <f t="shared" si="2"/>
        <v>6069848</v>
      </c>
      <c r="D14" s="340">
        <f t="shared" si="0"/>
        <v>60698.48</v>
      </c>
      <c r="E14" s="340">
        <v>0</v>
      </c>
      <c r="F14" s="340">
        <v>0</v>
      </c>
      <c r="G14" s="340">
        <f t="shared" si="1"/>
        <v>6130546.4800000004</v>
      </c>
    </row>
    <row r="15" spans="1:7" ht="14.45" x14ac:dyDescent="0.35">
      <c r="A15" s="312"/>
      <c r="B15" s="312" t="s">
        <v>56</v>
      </c>
      <c r="C15" s="340">
        <f t="shared" si="2"/>
        <v>6069848</v>
      </c>
      <c r="D15" s="340">
        <f t="shared" si="0"/>
        <v>60698.48</v>
      </c>
      <c r="E15" s="340">
        <v>0</v>
      </c>
      <c r="F15" s="340">
        <v>0</v>
      </c>
      <c r="G15" s="340">
        <f t="shared" si="1"/>
        <v>6130546.4800000004</v>
      </c>
    </row>
    <row r="16" spans="1:7" ht="14.45" x14ac:dyDescent="0.35">
      <c r="A16" s="312"/>
      <c r="B16" s="312" t="s">
        <v>57</v>
      </c>
      <c r="C16" s="340">
        <f>C15</f>
        <v>6069848</v>
      </c>
      <c r="D16" s="340">
        <f t="shared" si="0"/>
        <v>60698.48</v>
      </c>
      <c r="E16" s="340">
        <f>F16-D16</f>
        <v>117000.12014092671</v>
      </c>
      <c r="F16" s="340">
        <f>+D8</f>
        <v>177698.60014092672</v>
      </c>
      <c r="G16" s="340">
        <f t="shared" ref="G16:G74" si="3">C16-E16</f>
        <v>5952847.8798590731</v>
      </c>
    </row>
    <row r="17" spans="1:9" ht="14.45" x14ac:dyDescent="0.35">
      <c r="A17" s="312"/>
      <c r="B17" s="312" t="s">
        <v>58</v>
      </c>
      <c r="C17" s="340">
        <f t="shared" ref="C17:C75" si="4">G16</f>
        <v>5952847.8798590731</v>
      </c>
      <c r="D17" s="340">
        <f t="shared" si="0"/>
        <v>59528.478798590724</v>
      </c>
      <c r="E17" s="340">
        <f t="shared" ref="E17:E80" si="5">F17-D17</f>
        <v>118170.121342336</v>
      </c>
      <c r="F17" s="340">
        <f t="shared" ref="F17:F57" si="6">$D$8</f>
        <v>177698.60014092672</v>
      </c>
      <c r="G17" s="340">
        <f t="shared" si="3"/>
        <v>5834677.7585167373</v>
      </c>
    </row>
    <row r="18" spans="1:9" ht="14.45" x14ac:dyDescent="0.35">
      <c r="A18" s="312"/>
      <c r="B18" s="312" t="s">
        <v>59</v>
      </c>
      <c r="C18" s="340">
        <f t="shared" si="4"/>
        <v>5834677.7585167373</v>
      </c>
      <c r="D18" s="340">
        <f t="shared" si="0"/>
        <v>58346.777585167372</v>
      </c>
      <c r="E18" s="340">
        <f t="shared" si="5"/>
        <v>119351.82255575934</v>
      </c>
      <c r="F18" s="340">
        <f t="shared" si="6"/>
        <v>177698.60014092672</v>
      </c>
      <c r="G18" s="340">
        <f t="shared" si="3"/>
        <v>5715325.9359609783</v>
      </c>
    </row>
    <row r="19" spans="1:9" ht="14.45" x14ac:dyDescent="0.35">
      <c r="A19" s="312"/>
      <c r="B19" s="312" t="s">
        <v>60</v>
      </c>
      <c r="C19" s="340">
        <f t="shared" si="4"/>
        <v>5715325.9359609783</v>
      </c>
      <c r="D19" s="340">
        <f t="shared" si="0"/>
        <v>57153.259359609779</v>
      </c>
      <c r="E19" s="340">
        <f t="shared" si="5"/>
        <v>120545.34078131695</v>
      </c>
      <c r="F19" s="340">
        <f t="shared" si="6"/>
        <v>177698.60014092672</v>
      </c>
      <c r="G19" s="340">
        <f t="shared" si="3"/>
        <v>5594780.5951796612</v>
      </c>
    </row>
    <row r="20" spans="1:9" ht="14.45" x14ac:dyDescent="0.35">
      <c r="A20" s="312"/>
      <c r="B20" s="312" t="s">
        <v>61</v>
      </c>
      <c r="C20" s="340">
        <f t="shared" si="4"/>
        <v>5594780.5951796612</v>
      </c>
      <c r="D20" s="340">
        <f t="shared" si="0"/>
        <v>55947.80595179661</v>
      </c>
      <c r="E20" s="340">
        <f t="shared" si="5"/>
        <v>121750.7941891301</v>
      </c>
      <c r="F20" s="340">
        <f t="shared" si="6"/>
        <v>177698.60014092672</v>
      </c>
      <c r="G20" s="340">
        <f t="shared" si="3"/>
        <v>5473029.8009905312</v>
      </c>
    </row>
    <row r="21" spans="1:9" ht="14.45" x14ac:dyDescent="0.35">
      <c r="A21" s="312"/>
      <c r="B21" s="312" t="s">
        <v>62</v>
      </c>
      <c r="C21" s="340">
        <f t="shared" si="4"/>
        <v>5473029.8009905312</v>
      </c>
      <c r="D21" s="340">
        <f t="shared" si="0"/>
        <v>54730.298009905317</v>
      </c>
      <c r="E21" s="340">
        <f t="shared" si="5"/>
        <v>122968.3021310214</v>
      </c>
      <c r="F21" s="340">
        <f t="shared" si="6"/>
        <v>177698.60014092672</v>
      </c>
      <c r="G21" s="340">
        <f t="shared" si="3"/>
        <v>5350061.4988595098</v>
      </c>
      <c r="H21" s="345"/>
      <c r="I21" s="345"/>
    </row>
    <row r="22" spans="1:9" ht="14.45" x14ac:dyDescent="0.35">
      <c r="A22" s="312" t="s">
        <v>12</v>
      </c>
      <c r="B22" s="312" t="s">
        <v>63</v>
      </c>
      <c r="C22" s="340">
        <f t="shared" si="4"/>
        <v>5350061.4988595098</v>
      </c>
      <c r="D22" s="340">
        <f t="shared" si="0"/>
        <v>53500.614988595094</v>
      </c>
      <c r="E22" s="340">
        <f t="shared" si="5"/>
        <v>124197.98515233162</v>
      </c>
      <c r="F22" s="340">
        <f t="shared" si="6"/>
        <v>177698.60014092672</v>
      </c>
      <c r="G22" s="340">
        <f t="shared" si="3"/>
        <v>5225863.5137071786</v>
      </c>
    </row>
    <row r="23" spans="1:9" ht="14.45" x14ac:dyDescent="0.35">
      <c r="A23" s="312"/>
      <c r="B23" s="312" t="s">
        <v>64</v>
      </c>
      <c r="C23" s="340">
        <f t="shared" si="4"/>
        <v>5225863.5137071786</v>
      </c>
      <c r="D23" s="340">
        <f t="shared" si="0"/>
        <v>52258.635137071782</v>
      </c>
      <c r="E23" s="340">
        <f t="shared" si="5"/>
        <v>125439.96500385494</v>
      </c>
      <c r="F23" s="340">
        <f t="shared" si="6"/>
        <v>177698.60014092672</v>
      </c>
      <c r="G23" s="340">
        <f t="shared" si="3"/>
        <v>5100423.548703324</v>
      </c>
    </row>
    <row r="24" spans="1:9" ht="14.45" x14ac:dyDescent="0.35">
      <c r="A24" s="312"/>
      <c r="B24" s="312" t="s">
        <v>65</v>
      </c>
      <c r="C24" s="340">
        <f t="shared" si="4"/>
        <v>5100423.548703324</v>
      </c>
      <c r="D24" s="340">
        <f t="shared" si="0"/>
        <v>51004.235487033235</v>
      </c>
      <c r="E24" s="340">
        <f t="shared" si="5"/>
        <v>126694.36465389348</v>
      </c>
      <c r="F24" s="340">
        <f t="shared" si="6"/>
        <v>177698.60014092672</v>
      </c>
      <c r="G24" s="340">
        <f t="shared" si="3"/>
        <v>4973729.1840494303</v>
      </c>
    </row>
    <row r="25" spans="1:9" ht="14.45" x14ac:dyDescent="0.35">
      <c r="A25" s="312"/>
      <c r="B25" s="312" t="s">
        <v>66</v>
      </c>
      <c r="C25" s="340">
        <f t="shared" si="4"/>
        <v>4973729.1840494303</v>
      </c>
      <c r="D25" s="340">
        <f t="shared" si="0"/>
        <v>49737.291840494298</v>
      </c>
      <c r="E25" s="340">
        <f t="shared" si="5"/>
        <v>127961.30830043243</v>
      </c>
      <c r="F25" s="340">
        <f t="shared" si="6"/>
        <v>177698.60014092672</v>
      </c>
      <c r="G25" s="340">
        <f t="shared" si="3"/>
        <v>4845767.8757489976</v>
      </c>
    </row>
    <row r="26" spans="1:9" ht="14.45" x14ac:dyDescent="0.35">
      <c r="A26" s="312"/>
      <c r="B26" s="312" t="s">
        <v>67</v>
      </c>
      <c r="C26" s="340">
        <f t="shared" si="4"/>
        <v>4845767.8757489976</v>
      </c>
      <c r="D26" s="340">
        <f t="shared" si="0"/>
        <v>48457.678757489972</v>
      </c>
      <c r="E26" s="340">
        <f t="shared" si="5"/>
        <v>129240.92138343674</v>
      </c>
      <c r="F26" s="340">
        <f t="shared" si="6"/>
        <v>177698.60014092672</v>
      </c>
      <c r="G26" s="340">
        <f t="shared" si="3"/>
        <v>4716526.9543655608</v>
      </c>
    </row>
    <row r="27" spans="1:9" ht="14.45" x14ac:dyDescent="0.35">
      <c r="A27" s="312"/>
      <c r="B27" s="312" t="s">
        <v>68</v>
      </c>
      <c r="C27" s="340">
        <f t="shared" si="4"/>
        <v>4716526.9543655608</v>
      </c>
      <c r="D27" s="340">
        <f t="shared" si="0"/>
        <v>47165.269543655602</v>
      </c>
      <c r="E27" s="340">
        <f t="shared" si="5"/>
        <v>130533.33059727112</v>
      </c>
      <c r="F27" s="340">
        <f t="shared" si="6"/>
        <v>177698.60014092672</v>
      </c>
      <c r="G27" s="340">
        <f t="shared" si="3"/>
        <v>4585993.6237682896</v>
      </c>
    </row>
    <row r="28" spans="1:9" ht="14.45" x14ac:dyDescent="0.35">
      <c r="A28" s="312"/>
      <c r="B28" s="312" t="s">
        <v>69</v>
      </c>
      <c r="C28" s="340">
        <f t="shared" si="4"/>
        <v>4585993.6237682896</v>
      </c>
      <c r="D28" s="340">
        <f t="shared" si="0"/>
        <v>45859.936237682901</v>
      </c>
      <c r="E28" s="340">
        <f t="shared" si="5"/>
        <v>131838.66390324381</v>
      </c>
      <c r="F28" s="340">
        <f t="shared" si="6"/>
        <v>177698.60014092672</v>
      </c>
      <c r="G28" s="340">
        <f t="shared" si="3"/>
        <v>4454154.9598650457</v>
      </c>
    </row>
    <row r="29" spans="1:9" ht="14.45" x14ac:dyDescent="0.35">
      <c r="A29" s="312"/>
      <c r="B29" s="312" t="s">
        <v>70</v>
      </c>
      <c r="C29" s="340">
        <f t="shared" si="4"/>
        <v>4454154.9598650457</v>
      </c>
      <c r="D29" s="340">
        <f t="shared" si="0"/>
        <v>44541.549598650454</v>
      </c>
      <c r="E29" s="340">
        <f t="shared" si="5"/>
        <v>133157.05054227627</v>
      </c>
      <c r="F29" s="340">
        <f t="shared" si="6"/>
        <v>177698.60014092672</v>
      </c>
      <c r="G29" s="340">
        <f t="shared" si="3"/>
        <v>4320997.9093227694</v>
      </c>
    </row>
    <row r="30" spans="1:9" ht="14.45" x14ac:dyDescent="0.35">
      <c r="A30" s="312"/>
      <c r="B30" s="312" t="s">
        <v>71</v>
      </c>
      <c r="C30" s="340">
        <f t="shared" si="4"/>
        <v>4320997.9093227694</v>
      </c>
      <c r="D30" s="340">
        <f t="shared" si="0"/>
        <v>43209.979093227688</v>
      </c>
      <c r="E30" s="340">
        <f t="shared" si="5"/>
        <v>134488.62104769904</v>
      </c>
      <c r="F30" s="340">
        <f t="shared" si="6"/>
        <v>177698.60014092672</v>
      </c>
      <c r="G30" s="340">
        <f t="shared" si="3"/>
        <v>4186509.2882750705</v>
      </c>
    </row>
    <row r="31" spans="1:9" ht="14.45" x14ac:dyDescent="0.35">
      <c r="A31" s="312"/>
      <c r="B31" s="312" t="s">
        <v>72</v>
      </c>
      <c r="C31" s="340">
        <f t="shared" si="4"/>
        <v>4186509.2882750705</v>
      </c>
      <c r="D31" s="340">
        <f t="shared" si="0"/>
        <v>41865.092882750701</v>
      </c>
      <c r="E31" s="340">
        <f t="shared" si="5"/>
        <v>135833.50725817602</v>
      </c>
      <c r="F31" s="340">
        <f t="shared" si="6"/>
        <v>177698.60014092672</v>
      </c>
      <c r="G31" s="340">
        <f t="shared" si="3"/>
        <v>4050675.7810168946</v>
      </c>
    </row>
    <row r="32" spans="1:9" ht="14.45" x14ac:dyDescent="0.35">
      <c r="A32" s="312"/>
      <c r="B32" s="312" t="s">
        <v>73</v>
      </c>
      <c r="C32" s="340">
        <f t="shared" si="4"/>
        <v>4050675.7810168946</v>
      </c>
      <c r="D32" s="340">
        <f t="shared" si="0"/>
        <v>40506.757810168943</v>
      </c>
      <c r="E32" s="340">
        <f t="shared" si="5"/>
        <v>137191.84233075776</v>
      </c>
      <c r="F32" s="340">
        <f t="shared" si="6"/>
        <v>177698.60014092672</v>
      </c>
      <c r="G32" s="340">
        <f t="shared" si="3"/>
        <v>3913483.9386861371</v>
      </c>
    </row>
    <row r="33" spans="1:9" ht="14.45" x14ac:dyDescent="0.35">
      <c r="A33" s="312"/>
      <c r="B33" s="312" t="s">
        <v>74</v>
      </c>
      <c r="C33" s="340">
        <f t="shared" si="4"/>
        <v>3913483.9386861371</v>
      </c>
      <c r="D33" s="340">
        <f t="shared" si="0"/>
        <v>39134.839386861371</v>
      </c>
      <c r="E33" s="340">
        <f t="shared" si="5"/>
        <v>138563.76075406536</v>
      </c>
      <c r="F33" s="340">
        <f t="shared" si="6"/>
        <v>177698.60014092672</v>
      </c>
      <c r="G33" s="340">
        <f t="shared" si="3"/>
        <v>3774920.1779320715</v>
      </c>
      <c r="H33" s="345"/>
      <c r="I33" s="345"/>
    </row>
    <row r="34" spans="1:9" ht="14.45" x14ac:dyDescent="0.35">
      <c r="A34" s="312" t="s">
        <v>13</v>
      </c>
      <c r="B34" s="312" t="s">
        <v>75</v>
      </c>
      <c r="C34" s="340">
        <f t="shared" si="4"/>
        <v>3774920.1779320715</v>
      </c>
      <c r="D34" s="340">
        <f t="shared" si="0"/>
        <v>37749.201779320712</v>
      </c>
      <c r="E34" s="340">
        <f t="shared" si="5"/>
        <v>139949.398361606</v>
      </c>
      <c r="F34" s="340">
        <f t="shared" si="6"/>
        <v>177698.60014092672</v>
      </c>
      <c r="G34" s="340">
        <f t="shared" si="3"/>
        <v>3634970.7795704654</v>
      </c>
    </row>
    <row r="35" spans="1:9" ht="14.45" x14ac:dyDescent="0.35">
      <c r="A35" s="312"/>
      <c r="B35" s="312" t="s">
        <v>76</v>
      </c>
      <c r="C35" s="340">
        <f t="shared" si="4"/>
        <v>3634970.7795704654</v>
      </c>
      <c r="D35" s="340">
        <f t="shared" si="0"/>
        <v>36349.707795704649</v>
      </c>
      <c r="E35" s="340">
        <f t="shared" si="5"/>
        <v>141348.89234522206</v>
      </c>
      <c r="F35" s="340">
        <f t="shared" si="6"/>
        <v>177698.60014092672</v>
      </c>
      <c r="G35" s="340">
        <f t="shared" si="3"/>
        <v>3493621.8872252433</v>
      </c>
    </row>
    <row r="36" spans="1:9" ht="14.45" x14ac:dyDescent="0.35">
      <c r="A36" s="312"/>
      <c r="B36" s="312" t="s">
        <v>77</v>
      </c>
      <c r="C36" s="340">
        <f t="shared" si="4"/>
        <v>3493621.8872252433</v>
      </c>
      <c r="D36" s="340">
        <f t="shared" si="0"/>
        <v>34936.21887225243</v>
      </c>
      <c r="E36" s="340">
        <f t="shared" si="5"/>
        <v>142762.38126867427</v>
      </c>
      <c r="F36" s="340">
        <f t="shared" si="6"/>
        <v>177698.60014092672</v>
      </c>
      <c r="G36" s="340">
        <f t="shared" si="3"/>
        <v>3350859.5059565688</v>
      </c>
    </row>
    <row r="37" spans="1:9" ht="14.45" x14ac:dyDescent="0.35">
      <c r="A37" s="312"/>
      <c r="B37" s="312" t="s">
        <v>78</v>
      </c>
      <c r="C37" s="340">
        <f t="shared" si="4"/>
        <v>3350859.5059565688</v>
      </c>
      <c r="D37" s="340">
        <f t="shared" si="0"/>
        <v>33508.595059565683</v>
      </c>
      <c r="E37" s="340">
        <f t="shared" si="5"/>
        <v>144190.00508136104</v>
      </c>
      <c r="F37" s="340">
        <f t="shared" si="6"/>
        <v>177698.60014092672</v>
      </c>
      <c r="G37" s="340">
        <f t="shared" si="3"/>
        <v>3206669.5008752076</v>
      </c>
    </row>
    <row r="38" spans="1:9" ht="14.45" x14ac:dyDescent="0.35">
      <c r="A38" s="312"/>
      <c r="B38" s="312" t="s">
        <v>79</v>
      </c>
      <c r="C38" s="340">
        <f t="shared" si="4"/>
        <v>3206669.5008752076</v>
      </c>
      <c r="D38" s="340">
        <f t="shared" si="0"/>
        <v>32066.695008752078</v>
      </c>
      <c r="E38" s="340">
        <f t="shared" si="5"/>
        <v>145631.90513217464</v>
      </c>
      <c r="F38" s="340">
        <f t="shared" si="6"/>
        <v>177698.60014092672</v>
      </c>
      <c r="G38" s="340">
        <f t="shared" si="3"/>
        <v>3061037.5957430331</v>
      </c>
    </row>
    <row r="39" spans="1:9" ht="14.45" x14ac:dyDescent="0.35">
      <c r="A39" s="312"/>
      <c r="B39" s="312" t="s">
        <v>80</v>
      </c>
      <c r="C39" s="340">
        <f t="shared" si="4"/>
        <v>3061037.5957430331</v>
      </c>
      <c r="D39" s="340">
        <f t="shared" si="0"/>
        <v>30610.375957430329</v>
      </c>
      <c r="E39" s="340">
        <f t="shared" si="5"/>
        <v>147088.22418349638</v>
      </c>
      <c r="F39" s="340">
        <f t="shared" si="6"/>
        <v>177698.60014092672</v>
      </c>
      <c r="G39" s="340">
        <f t="shared" si="3"/>
        <v>2913949.3715595366</v>
      </c>
    </row>
    <row r="40" spans="1:9" ht="14.45" x14ac:dyDescent="0.35">
      <c r="A40" s="312"/>
      <c r="B40" s="312" t="s">
        <v>81</v>
      </c>
      <c r="C40" s="340">
        <f t="shared" si="4"/>
        <v>2913949.3715595366</v>
      </c>
      <c r="D40" s="340">
        <f t="shared" si="0"/>
        <v>29139.493715595367</v>
      </c>
      <c r="E40" s="340">
        <f t="shared" si="5"/>
        <v>148559.10642533135</v>
      </c>
      <c r="F40" s="340">
        <f t="shared" si="6"/>
        <v>177698.60014092672</v>
      </c>
      <c r="G40" s="340">
        <f t="shared" si="3"/>
        <v>2765390.2651342051</v>
      </c>
    </row>
    <row r="41" spans="1:9" ht="14.45" x14ac:dyDescent="0.35">
      <c r="A41" s="312"/>
      <c r="B41" s="312" t="s">
        <v>82</v>
      </c>
      <c r="C41" s="340">
        <f t="shared" si="4"/>
        <v>2765390.2651342051</v>
      </c>
      <c r="D41" s="340">
        <f t="shared" si="0"/>
        <v>27653.90265134205</v>
      </c>
      <c r="E41" s="340">
        <f t="shared" si="5"/>
        <v>150044.69748958468</v>
      </c>
      <c r="F41" s="340">
        <f t="shared" si="6"/>
        <v>177698.60014092672</v>
      </c>
      <c r="G41" s="340">
        <f t="shared" si="3"/>
        <v>2615345.5676446203</v>
      </c>
    </row>
    <row r="42" spans="1:9" ht="14.45" x14ac:dyDescent="0.35">
      <c r="A42" s="312"/>
      <c r="B42" s="312" t="s">
        <v>83</v>
      </c>
      <c r="C42" s="340">
        <f t="shared" si="4"/>
        <v>2615345.5676446203</v>
      </c>
      <c r="D42" s="340">
        <f t="shared" ref="D42:D73" si="7">C42*$D$5/12</f>
        <v>26153.455676446203</v>
      </c>
      <c r="E42" s="340">
        <f t="shared" si="5"/>
        <v>151545.14446448052</v>
      </c>
      <c r="F42" s="340">
        <f t="shared" si="6"/>
        <v>177698.60014092672</v>
      </c>
      <c r="G42" s="340">
        <f t="shared" si="3"/>
        <v>2463800.4231801396</v>
      </c>
    </row>
    <row r="43" spans="1:9" ht="14.45" x14ac:dyDescent="0.35">
      <c r="A43" s="312"/>
      <c r="B43" s="312" t="s">
        <v>84</v>
      </c>
      <c r="C43" s="340">
        <f t="shared" si="4"/>
        <v>2463800.4231801396</v>
      </c>
      <c r="D43" s="340">
        <f t="shared" si="7"/>
        <v>24638.004231801398</v>
      </c>
      <c r="E43" s="340">
        <f t="shared" si="5"/>
        <v>153060.59590912532</v>
      </c>
      <c r="F43" s="340">
        <f t="shared" si="6"/>
        <v>177698.60014092672</v>
      </c>
      <c r="G43" s="340">
        <f t="shared" si="3"/>
        <v>2310739.8272710145</v>
      </c>
    </row>
    <row r="44" spans="1:9" ht="14.45" x14ac:dyDescent="0.35">
      <c r="A44" s="312"/>
      <c r="B44" s="312" t="s">
        <v>85</v>
      </c>
      <c r="C44" s="340">
        <f t="shared" si="4"/>
        <v>2310739.8272710145</v>
      </c>
      <c r="D44" s="340">
        <f t="shared" si="7"/>
        <v>23107.398272710143</v>
      </c>
      <c r="E44" s="340">
        <f t="shared" si="5"/>
        <v>154591.20186821657</v>
      </c>
      <c r="F44" s="340">
        <f t="shared" si="6"/>
        <v>177698.60014092672</v>
      </c>
      <c r="G44" s="340">
        <f t="shared" si="3"/>
        <v>2156148.6254027979</v>
      </c>
    </row>
    <row r="45" spans="1:9" ht="14.45" x14ac:dyDescent="0.35">
      <c r="A45" s="312"/>
      <c r="B45" s="312" t="s">
        <v>86</v>
      </c>
      <c r="C45" s="340">
        <f t="shared" si="4"/>
        <v>2156148.6254027979</v>
      </c>
      <c r="D45" s="340">
        <f t="shared" si="7"/>
        <v>21561.486254027979</v>
      </c>
      <c r="E45" s="340">
        <f t="shared" si="5"/>
        <v>156137.11388689873</v>
      </c>
      <c r="F45" s="340">
        <f t="shared" si="6"/>
        <v>177698.60014092672</v>
      </c>
      <c r="G45" s="340">
        <f t="shared" si="3"/>
        <v>2000011.5115158991</v>
      </c>
      <c r="H45" s="345"/>
      <c r="I45" s="345"/>
    </row>
    <row r="46" spans="1:9" ht="14.45" x14ac:dyDescent="0.35">
      <c r="A46" s="312" t="s">
        <v>14</v>
      </c>
      <c r="B46" s="312" t="s">
        <v>87</v>
      </c>
      <c r="C46" s="340">
        <f t="shared" si="4"/>
        <v>2000011.5115158991</v>
      </c>
      <c r="D46" s="340">
        <f t="shared" si="7"/>
        <v>20000.115115158991</v>
      </c>
      <c r="E46" s="340">
        <f t="shared" si="5"/>
        <v>157698.48502576773</v>
      </c>
      <c r="F46" s="340">
        <f t="shared" si="6"/>
        <v>177698.60014092672</v>
      </c>
      <c r="G46" s="340">
        <f t="shared" si="3"/>
        <v>1842313.0264901314</v>
      </c>
    </row>
    <row r="47" spans="1:9" ht="14.45" x14ac:dyDescent="0.35">
      <c r="A47" s="312"/>
      <c r="B47" s="312" t="s">
        <v>88</v>
      </c>
      <c r="C47" s="340">
        <f t="shared" si="4"/>
        <v>1842313.0264901314</v>
      </c>
      <c r="D47" s="340">
        <f t="shared" si="7"/>
        <v>18423.130264901312</v>
      </c>
      <c r="E47" s="340">
        <f t="shared" si="5"/>
        <v>159275.4698760254</v>
      </c>
      <c r="F47" s="340">
        <f t="shared" si="6"/>
        <v>177698.60014092672</v>
      </c>
      <c r="G47" s="340">
        <f t="shared" si="3"/>
        <v>1683037.5566141061</v>
      </c>
    </row>
    <row r="48" spans="1:9" ht="14.45" x14ac:dyDescent="0.35">
      <c r="A48" s="312"/>
      <c r="B48" s="312" t="s">
        <v>89</v>
      </c>
      <c r="C48" s="340">
        <f t="shared" si="4"/>
        <v>1683037.5566141061</v>
      </c>
      <c r="D48" s="340">
        <f t="shared" si="7"/>
        <v>16830.375566141058</v>
      </c>
      <c r="E48" s="340">
        <f t="shared" si="5"/>
        <v>160868.22457478565</v>
      </c>
      <c r="F48" s="340">
        <f t="shared" si="6"/>
        <v>177698.60014092672</v>
      </c>
      <c r="G48" s="340">
        <f t="shared" si="3"/>
        <v>1522169.3320393204</v>
      </c>
    </row>
    <row r="49" spans="1:9" ht="14.45" x14ac:dyDescent="0.35">
      <c r="A49" s="312"/>
      <c r="B49" s="312" t="s">
        <v>90</v>
      </c>
      <c r="C49" s="340">
        <f t="shared" si="4"/>
        <v>1522169.3320393204</v>
      </c>
      <c r="D49" s="340">
        <f t="shared" si="7"/>
        <v>15221.693320393204</v>
      </c>
      <c r="E49" s="340">
        <f t="shared" si="5"/>
        <v>162476.90682053351</v>
      </c>
      <c r="F49" s="340">
        <f t="shared" si="6"/>
        <v>177698.60014092672</v>
      </c>
      <c r="G49" s="340">
        <f t="shared" si="3"/>
        <v>1359692.4252187868</v>
      </c>
    </row>
    <row r="50" spans="1:9" ht="14.45" x14ac:dyDescent="0.35">
      <c r="A50" s="312"/>
      <c r="B50" s="312" t="s">
        <v>91</v>
      </c>
      <c r="C50" s="340">
        <f t="shared" si="4"/>
        <v>1359692.4252187868</v>
      </c>
      <c r="D50" s="340">
        <f t="shared" si="7"/>
        <v>13596.924252187868</v>
      </c>
      <c r="E50" s="340">
        <f t="shared" si="5"/>
        <v>164101.67588873886</v>
      </c>
      <c r="F50" s="340">
        <f t="shared" si="6"/>
        <v>177698.60014092672</v>
      </c>
      <c r="G50" s="340">
        <f t="shared" si="3"/>
        <v>1195590.749330048</v>
      </c>
    </row>
    <row r="51" spans="1:9" ht="14.45" x14ac:dyDescent="0.35">
      <c r="A51" s="312"/>
      <c r="B51" s="312" t="s">
        <v>92</v>
      </c>
      <c r="C51" s="340">
        <f t="shared" si="4"/>
        <v>1195590.749330048</v>
      </c>
      <c r="D51" s="340">
        <f t="shared" si="7"/>
        <v>11955.907493300479</v>
      </c>
      <c r="E51" s="340">
        <f t="shared" si="5"/>
        <v>165742.69264762625</v>
      </c>
      <c r="F51" s="340">
        <f t="shared" si="6"/>
        <v>177698.60014092672</v>
      </c>
      <c r="G51" s="340">
        <f t="shared" si="3"/>
        <v>1029848.0566824217</v>
      </c>
    </row>
    <row r="52" spans="1:9" ht="14.45" x14ac:dyDescent="0.35">
      <c r="A52" s="312"/>
      <c r="B52" s="312" t="s">
        <v>93</v>
      </c>
      <c r="C52" s="340">
        <f t="shared" si="4"/>
        <v>1029848.0566824217</v>
      </c>
      <c r="D52" s="340">
        <f t="shared" si="7"/>
        <v>10298.480566824217</v>
      </c>
      <c r="E52" s="340">
        <f t="shared" si="5"/>
        <v>167400.11957410251</v>
      </c>
      <c r="F52" s="340">
        <f t="shared" si="6"/>
        <v>177698.60014092672</v>
      </c>
      <c r="G52" s="340">
        <f t="shared" si="3"/>
        <v>862447.93710831925</v>
      </c>
    </row>
    <row r="53" spans="1:9" ht="14.45" x14ac:dyDescent="0.35">
      <c r="A53" s="312"/>
      <c r="B53" s="312" t="s">
        <v>94</v>
      </c>
      <c r="C53" s="340">
        <f t="shared" si="4"/>
        <v>862447.93710831925</v>
      </c>
      <c r="D53" s="340">
        <f t="shared" si="7"/>
        <v>8624.4793710831927</v>
      </c>
      <c r="E53" s="340">
        <f t="shared" si="5"/>
        <v>169074.12076984352</v>
      </c>
      <c r="F53" s="340">
        <f t="shared" si="6"/>
        <v>177698.60014092672</v>
      </c>
      <c r="G53" s="340">
        <f t="shared" si="3"/>
        <v>693373.81633847579</v>
      </c>
    </row>
    <row r="54" spans="1:9" ht="14.45" x14ac:dyDescent="0.35">
      <c r="A54" s="312"/>
      <c r="B54" s="312" t="s">
        <v>95</v>
      </c>
      <c r="C54" s="340">
        <f t="shared" si="4"/>
        <v>693373.81633847579</v>
      </c>
      <c r="D54" s="340">
        <f t="shared" si="7"/>
        <v>6933.7381633847581</v>
      </c>
      <c r="E54" s="340">
        <f t="shared" si="5"/>
        <v>170764.86197754196</v>
      </c>
      <c r="F54" s="340">
        <f t="shared" si="6"/>
        <v>177698.60014092672</v>
      </c>
      <c r="G54" s="340">
        <f t="shared" si="3"/>
        <v>522608.95436093386</v>
      </c>
    </row>
    <row r="55" spans="1:9" ht="14.45" x14ac:dyDescent="0.35">
      <c r="A55" s="312"/>
      <c r="B55" s="312" t="s">
        <v>96</v>
      </c>
      <c r="C55" s="340">
        <f t="shared" si="4"/>
        <v>522608.95436093386</v>
      </c>
      <c r="D55" s="340">
        <f t="shared" si="7"/>
        <v>5226.0895436093388</v>
      </c>
      <c r="E55" s="340">
        <f t="shared" si="5"/>
        <v>172472.51059731739</v>
      </c>
      <c r="F55" s="340">
        <f t="shared" si="6"/>
        <v>177698.60014092672</v>
      </c>
      <c r="G55" s="340">
        <f t="shared" si="3"/>
        <v>350136.44376361649</v>
      </c>
    </row>
    <row r="56" spans="1:9" ht="14.45" x14ac:dyDescent="0.35">
      <c r="A56" s="312"/>
      <c r="B56" s="312" t="s">
        <v>97</v>
      </c>
      <c r="C56" s="340">
        <f t="shared" si="4"/>
        <v>350136.44376361649</v>
      </c>
      <c r="D56" s="340">
        <f t="shared" si="7"/>
        <v>3501.3644376361649</v>
      </c>
      <c r="E56" s="340">
        <f t="shared" si="5"/>
        <v>174197.23570329056</v>
      </c>
      <c r="F56" s="340">
        <f t="shared" si="6"/>
        <v>177698.60014092672</v>
      </c>
      <c r="G56" s="340">
        <f t="shared" si="3"/>
        <v>175939.20806032594</v>
      </c>
    </row>
    <row r="57" spans="1:9" ht="14.45" x14ac:dyDescent="0.35">
      <c r="A57" s="312"/>
      <c r="B57" s="312" t="s">
        <v>98</v>
      </c>
      <c r="C57" s="340">
        <f t="shared" si="4"/>
        <v>175939.20806032594</v>
      </c>
      <c r="D57" s="340">
        <f t="shared" si="7"/>
        <v>1759.3920806032593</v>
      </c>
      <c r="E57" s="340">
        <f t="shared" si="5"/>
        <v>175939.20806032346</v>
      </c>
      <c r="F57" s="340">
        <f t="shared" si="6"/>
        <v>177698.60014092672</v>
      </c>
      <c r="G57" s="340">
        <f t="shared" si="3"/>
        <v>2.4738255888223648E-9</v>
      </c>
      <c r="H57" s="345"/>
      <c r="I57" s="345"/>
    </row>
    <row r="58" spans="1:9" ht="14.45" x14ac:dyDescent="0.35">
      <c r="A58" s="312" t="s">
        <v>15</v>
      </c>
      <c r="B58" s="312" t="s">
        <v>99</v>
      </c>
      <c r="C58" s="340">
        <f t="shared" si="4"/>
        <v>2.4738255888223648E-9</v>
      </c>
      <c r="D58" s="340">
        <f t="shared" si="7"/>
        <v>2.4738255888223647E-11</v>
      </c>
      <c r="E58" s="340">
        <f t="shared" si="5"/>
        <v>-2.4738255888223647E-11</v>
      </c>
      <c r="F58" s="340"/>
      <c r="G58" s="340">
        <f t="shared" si="3"/>
        <v>2.4985638447105883E-9</v>
      </c>
    </row>
    <row r="59" spans="1:9" ht="14.45" x14ac:dyDescent="0.35">
      <c r="A59" s="312"/>
      <c r="B59" s="312" t="s">
        <v>100</v>
      </c>
      <c r="C59" s="340">
        <f t="shared" si="4"/>
        <v>2.4985638447105883E-9</v>
      </c>
      <c r="D59" s="340">
        <f t="shared" si="7"/>
        <v>2.4985638447105883E-11</v>
      </c>
      <c r="E59" s="340">
        <f t="shared" si="5"/>
        <v>-2.4985638447105883E-11</v>
      </c>
      <c r="F59" s="340"/>
      <c r="G59" s="340">
        <f t="shared" si="3"/>
        <v>2.5235494831576944E-9</v>
      </c>
    </row>
    <row r="60" spans="1:9" ht="14.45" x14ac:dyDescent="0.35">
      <c r="A60" s="312"/>
      <c r="B60" s="312" t="s">
        <v>101</v>
      </c>
      <c r="C60" s="340">
        <f t="shared" si="4"/>
        <v>2.5235494831576944E-9</v>
      </c>
      <c r="D60" s="340">
        <f t="shared" si="7"/>
        <v>2.5235494831576943E-11</v>
      </c>
      <c r="E60" s="340">
        <f t="shared" si="5"/>
        <v>-2.5235494831576943E-11</v>
      </c>
      <c r="F60" s="340"/>
      <c r="G60" s="340">
        <f t="shared" si="3"/>
        <v>2.5487849779892714E-9</v>
      </c>
    </row>
    <row r="61" spans="1:9" ht="14.45" x14ac:dyDescent="0.35">
      <c r="A61" s="312"/>
      <c r="B61" s="312" t="s">
        <v>102</v>
      </c>
      <c r="C61" s="340">
        <f t="shared" si="4"/>
        <v>2.5487849779892714E-9</v>
      </c>
      <c r="D61" s="340">
        <f t="shared" si="7"/>
        <v>2.5487849779892713E-11</v>
      </c>
      <c r="E61" s="340">
        <f t="shared" si="5"/>
        <v>-2.5487849779892713E-11</v>
      </c>
      <c r="F61" s="340"/>
      <c r="G61" s="340">
        <f t="shared" si="3"/>
        <v>2.5742728277691642E-9</v>
      </c>
    </row>
    <row r="62" spans="1:9" ht="14.45" x14ac:dyDescent="0.35">
      <c r="A62" s="312"/>
      <c r="B62" s="312" t="s">
        <v>103</v>
      </c>
      <c r="C62" s="340">
        <f t="shared" si="4"/>
        <v>2.5742728277691642E-9</v>
      </c>
      <c r="D62" s="340">
        <f t="shared" si="7"/>
        <v>2.5742728277691641E-11</v>
      </c>
      <c r="E62" s="340">
        <f t="shared" si="5"/>
        <v>-2.5742728277691641E-11</v>
      </c>
      <c r="F62" s="340"/>
      <c r="G62" s="340">
        <f t="shared" si="3"/>
        <v>2.6000155560468558E-9</v>
      </c>
    </row>
    <row r="63" spans="1:9" ht="14.45" x14ac:dyDescent="0.35">
      <c r="A63" s="312"/>
      <c r="B63" s="312" t="s">
        <v>104</v>
      </c>
      <c r="C63" s="340">
        <f t="shared" si="4"/>
        <v>2.6000155560468558E-9</v>
      </c>
      <c r="D63" s="340">
        <f t="shared" si="7"/>
        <v>2.6000155560468557E-11</v>
      </c>
      <c r="E63" s="340">
        <f t="shared" si="5"/>
        <v>-2.6000155560468557E-11</v>
      </c>
      <c r="F63" s="340"/>
      <c r="G63" s="340">
        <f t="shared" si="3"/>
        <v>2.6260157116073245E-9</v>
      </c>
    </row>
    <row r="64" spans="1:9" ht="14.45" x14ac:dyDescent="0.35">
      <c r="A64" s="312"/>
      <c r="B64" s="312" t="s">
        <v>105</v>
      </c>
      <c r="C64" s="340">
        <f t="shared" si="4"/>
        <v>2.6260157116073245E-9</v>
      </c>
      <c r="D64" s="340">
        <f t="shared" si="7"/>
        <v>2.6260157116073242E-11</v>
      </c>
      <c r="E64" s="340">
        <f t="shared" si="5"/>
        <v>-2.6260157116073242E-11</v>
      </c>
      <c r="F64" s="340"/>
      <c r="G64" s="340">
        <f t="shared" si="3"/>
        <v>2.652275868723398E-9</v>
      </c>
    </row>
    <row r="65" spans="1:9" ht="14.45" x14ac:dyDescent="0.35">
      <c r="A65" s="312"/>
      <c r="B65" s="312" t="s">
        <v>106</v>
      </c>
      <c r="C65" s="340">
        <f t="shared" si="4"/>
        <v>2.652275868723398E-9</v>
      </c>
      <c r="D65" s="340">
        <f t="shared" si="7"/>
        <v>2.6522758687233978E-11</v>
      </c>
      <c r="E65" s="340">
        <f t="shared" si="5"/>
        <v>-2.6522758687233978E-11</v>
      </c>
      <c r="F65" s="340"/>
      <c r="G65" s="340">
        <f t="shared" si="3"/>
        <v>2.6787986274106321E-9</v>
      </c>
    </row>
    <row r="66" spans="1:9" ht="14.45" x14ac:dyDescent="0.35">
      <c r="A66" s="312"/>
      <c r="B66" s="312" t="s">
        <v>107</v>
      </c>
      <c r="C66" s="340">
        <f t="shared" si="4"/>
        <v>2.6787986274106321E-9</v>
      </c>
      <c r="D66" s="340">
        <f t="shared" si="7"/>
        <v>2.6787986274106319E-11</v>
      </c>
      <c r="E66" s="340">
        <f t="shared" si="5"/>
        <v>-2.6787986274106319E-11</v>
      </c>
      <c r="F66" s="340"/>
      <c r="G66" s="340">
        <f t="shared" si="3"/>
        <v>2.7055866136847384E-9</v>
      </c>
    </row>
    <row r="67" spans="1:9" ht="14.45" x14ac:dyDescent="0.35">
      <c r="A67" s="312"/>
      <c r="B67" s="312" t="s">
        <v>108</v>
      </c>
      <c r="C67" s="340">
        <f t="shared" si="4"/>
        <v>2.7055866136847384E-9</v>
      </c>
      <c r="D67" s="340">
        <f t="shared" si="7"/>
        <v>2.705586613684738E-11</v>
      </c>
      <c r="E67" s="340">
        <f t="shared" si="5"/>
        <v>-2.705586613684738E-11</v>
      </c>
      <c r="F67" s="340"/>
      <c r="G67" s="340">
        <f t="shared" si="3"/>
        <v>2.7326424798215859E-9</v>
      </c>
    </row>
    <row r="68" spans="1:9" ht="14.45" x14ac:dyDescent="0.35">
      <c r="A68" s="312"/>
      <c r="B68" s="312" t="s">
        <v>109</v>
      </c>
      <c r="C68" s="340">
        <f t="shared" si="4"/>
        <v>2.7326424798215859E-9</v>
      </c>
      <c r="D68" s="340">
        <f t="shared" si="7"/>
        <v>2.732642479821586E-11</v>
      </c>
      <c r="E68" s="340">
        <f t="shared" si="5"/>
        <v>-2.732642479821586E-11</v>
      </c>
      <c r="F68" s="340"/>
      <c r="G68" s="340">
        <f t="shared" si="3"/>
        <v>2.7599689046198016E-9</v>
      </c>
    </row>
    <row r="69" spans="1:9" ht="14.45" x14ac:dyDescent="0.35">
      <c r="A69" s="312"/>
      <c r="B69" s="312" t="s">
        <v>110</v>
      </c>
      <c r="C69" s="340">
        <f t="shared" si="4"/>
        <v>2.7599689046198016E-9</v>
      </c>
      <c r="D69" s="340">
        <f t="shared" si="7"/>
        <v>2.7599689046198016E-11</v>
      </c>
      <c r="E69" s="340">
        <f t="shared" si="5"/>
        <v>-2.7599689046198016E-11</v>
      </c>
      <c r="F69" s="340"/>
      <c r="G69" s="340">
        <f t="shared" si="3"/>
        <v>2.7875685936659998E-9</v>
      </c>
      <c r="H69" s="345"/>
      <c r="I69" s="345"/>
    </row>
    <row r="70" spans="1:9" ht="14.45" x14ac:dyDescent="0.35">
      <c r="A70" s="312" t="s">
        <v>16</v>
      </c>
      <c r="B70" s="312" t="s">
        <v>111</v>
      </c>
      <c r="C70" s="340">
        <f t="shared" si="4"/>
        <v>2.7875685936659998E-9</v>
      </c>
      <c r="D70" s="340">
        <f t="shared" si="7"/>
        <v>2.7875685936659994E-11</v>
      </c>
      <c r="E70" s="340">
        <f t="shared" si="5"/>
        <v>-2.7875685936659994E-11</v>
      </c>
      <c r="F70" s="340"/>
      <c r="G70" s="340">
        <f t="shared" si="3"/>
        <v>2.8154442796026596E-9</v>
      </c>
    </row>
    <row r="71" spans="1:9" ht="14.45" x14ac:dyDescent="0.35">
      <c r="A71" s="312"/>
      <c r="B71" s="312" t="s">
        <v>112</v>
      </c>
      <c r="C71" s="340">
        <f t="shared" si="4"/>
        <v>2.8154442796026596E-9</v>
      </c>
      <c r="D71" s="340">
        <f t="shared" si="7"/>
        <v>2.8154442796026596E-11</v>
      </c>
      <c r="E71" s="340">
        <f t="shared" si="5"/>
        <v>-2.8154442796026596E-11</v>
      </c>
      <c r="F71" s="340"/>
      <c r="G71" s="340">
        <f t="shared" si="3"/>
        <v>2.8435987223986861E-9</v>
      </c>
    </row>
    <row r="72" spans="1:9" ht="14.45" x14ac:dyDescent="0.35">
      <c r="A72" s="312"/>
      <c r="B72" s="312" t="s">
        <v>113</v>
      </c>
      <c r="C72" s="340">
        <f t="shared" si="4"/>
        <v>2.8435987223986861E-9</v>
      </c>
      <c r="D72" s="340">
        <f t="shared" si="7"/>
        <v>2.8435987223986859E-11</v>
      </c>
      <c r="E72" s="340">
        <f t="shared" si="5"/>
        <v>-2.8435987223986859E-11</v>
      </c>
      <c r="F72" s="340"/>
      <c r="G72" s="340">
        <f t="shared" si="3"/>
        <v>2.872034709622673E-9</v>
      </c>
    </row>
    <row r="73" spans="1:9" ht="14.45" x14ac:dyDescent="0.35">
      <c r="A73" s="312"/>
      <c r="B73" s="312" t="s">
        <v>114</v>
      </c>
      <c r="C73" s="340">
        <f t="shared" si="4"/>
        <v>2.872034709622673E-9</v>
      </c>
      <c r="D73" s="340">
        <f t="shared" si="7"/>
        <v>2.8720347096226727E-11</v>
      </c>
      <c r="E73" s="340">
        <f t="shared" si="5"/>
        <v>-2.8720347096226727E-11</v>
      </c>
      <c r="F73" s="340"/>
      <c r="G73" s="340">
        <f t="shared" si="3"/>
        <v>2.9007550567188997E-9</v>
      </c>
    </row>
    <row r="74" spans="1:9" x14ac:dyDescent="0.25">
      <c r="A74" s="312"/>
      <c r="B74" s="312" t="s">
        <v>115</v>
      </c>
      <c r="C74" s="340">
        <f t="shared" si="4"/>
        <v>2.9007550567188997E-9</v>
      </c>
      <c r="D74" s="340">
        <f t="shared" ref="D74:D93" si="8">C74*$D$5/12</f>
        <v>2.9007550567188999E-11</v>
      </c>
      <c r="E74" s="340">
        <f t="shared" si="5"/>
        <v>-2.9007550567188999E-11</v>
      </c>
      <c r="F74" s="340"/>
      <c r="G74" s="340">
        <f t="shared" si="3"/>
        <v>2.9297626072860889E-9</v>
      </c>
    </row>
    <row r="75" spans="1:9" x14ac:dyDescent="0.25">
      <c r="A75" s="312"/>
      <c r="B75" s="312" t="s">
        <v>116</v>
      </c>
      <c r="C75" s="340">
        <f t="shared" si="4"/>
        <v>2.9297626072860889E-9</v>
      </c>
      <c r="D75" s="340">
        <f t="shared" si="8"/>
        <v>2.929762607286089E-11</v>
      </c>
      <c r="E75" s="340">
        <f t="shared" si="5"/>
        <v>-2.929762607286089E-11</v>
      </c>
      <c r="F75" s="340"/>
      <c r="G75" s="340">
        <f t="shared" ref="G75:G93" si="9">C75-E75</f>
        <v>2.95906023335895E-9</v>
      </c>
    </row>
    <row r="76" spans="1:9" x14ac:dyDescent="0.25">
      <c r="A76" s="312"/>
      <c r="B76" s="312" t="s">
        <v>117</v>
      </c>
      <c r="C76" s="340">
        <f t="shared" ref="C76:C93" si="10">G75</f>
        <v>2.95906023335895E-9</v>
      </c>
      <c r="D76" s="340">
        <f t="shared" si="8"/>
        <v>2.9590602333589498E-11</v>
      </c>
      <c r="E76" s="340">
        <f t="shared" si="5"/>
        <v>-2.9590602333589498E-11</v>
      </c>
      <c r="F76" s="340"/>
      <c r="G76" s="340">
        <f t="shared" si="9"/>
        <v>2.9886508356925393E-9</v>
      </c>
    </row>
    <row r="77" spans="1:9" x14ac:dyDescent="0.25">
      <c r="A77" s="312"/>
      <c r="B77" s="312" t="s">
        <v>118</v>
      </c>
      <c r="C77" s="340">
        <f t="shared" si="10"/>
        <v>2.9886508356925393E-9</v>
      </c>
      <c r="D77" s="340">
        <f t="shared" si="8"/>
        <v>2.9886508356925391E-11</v>
      </c>
      <c r="E77" s="340">
        <f t="shared" si="5"/>
        <v>-2.9886508356925391E-11</v>
      </c>
      <c r="F77" s="340"/>
      <c r="G77" s="340">
        <f t="shared" si="9"/>
        <v>3.0185373440494647E-9</v>
      </c>
    </row>
    <row r="78" spans="1:9" x14ac:dyDescent="0.25">
      <c r="A78" s="312"/>
      <c r="B78" s="312" t="s">
        <v>119</v>
      </c>
      <c r="C78" s="340">
        <f t="shared" si="10"/>
        <v>3.0185373440494647E-9</v>
      </c>
      <c r="D78" s="340">
        <f t="shared" si="8"/>
        <v>3.0185373440494646E-11</v>
      </c>
      <c r="E78" s="340">
        <f t="shared" si="5"/>
        <v>-3.0185373440494646E-11</v>
      </c>
      <c r="F78" s="340"/>
      <c r="G78" s="340">
        <f t="shared" si="9"/>
        <v>3.0487227174899592E-9</v>
      </c>
    </row>
    <row r="79" spans="1:9" x14ac:dyDescent="0.25">
      <c r="A79" s="312"/>
      <c r="B79" s="312" t="s">
        <v>120</v>
      </c>
      <c r="C79" s="340">
        <f t="shared" si="10"/>
        <v>3.0487227174899592E-9</v>
      </c>
      <c r="D79" s="340">
        <f t="shared" si="8"/>
        <v>3.048722717489959E-11</v>
      </c>
      <c r="E79" s="340">
        <f t="shared" si="5"/>
        <v>-3.048722717489959E-11</v>
      </c>
      <c r="F79" s="340"/>
      <c r="G79" s="340">
        <f t="shared" si="9"/>
        <v>3.0792099446648589E-9</v>
      </c>
    </row>
    <row r="80" spans="1:9" x14ac:dyDescent="0.25">
      <c r="A80" s="312"/>
      <c r="B80" s="312" t="s">
        <v>121</v>
      </c>
      <c r="C80" s="340">
        <f t="shared" si="10"/>
        <v>3.0792099446648589E-9</v>
      </c>
      <c r="D80" s="340">
        <f t="shared" si="8"/>
        <v>3.0792099446648587E-11</v>
      </c>
      <c r="E80" s="340">
        <f t="shared" si="5"/>
        <v>-3.0792099446648587E-11</v>
      </c>
      <c r="F80" s="340"/>
      <c r="G80" s="340">
        <f t="shared" si="9"/>
        <v>3.1100020441115076E-9</v>
      </c>
    </row>
    <row r="81" spans="1:9" x14ac:dyDescent="0.25">
      <c r="A81" s="312"/>
      <c r="B81" s="312" t="s">
        <v>122</v>
      </c>
      <c r="C81" s="340">
        <f t="shared" si="10"/>
        <v>3.1100020441115076E-9</v>
      </c>
      <c r="D81" s="340">
        <f t="shared" si="8"/>
        <v>3.1100020441115077E-11</v>
      </c>
      <c r="E81" s="340">
        <f t="shared" ref="E81:E93" si="11">F81-D81</f>
        <v>-3.1100020441115077E-11</v>
      </c>
      <c r="F81" s="340"/>
      <c r="G81" s="340">
        <f t="shared" si="9"/>
        <v>3.1411020645526229E-9</v>
      </c>
      <c r="H81" s="345"/>
      <c r="I81" s="345"/>
    </row>
    <row r="82" spans="1:9" x14ac:dyDescent="0.25">
      <c r="A82" s="312" t="s">
        <v>275</v>
      </c>
      <c r="B82" s="312" t="s">
        <v>211</v>
      </c>
      <c r="C82" s="340">
        <f t="shared" si="10"/>
        <v>3.1411020645526229E-9</v>
      </c>
      <c r="D82" s="340">
        <f t="shared" si="8"/>
        <v>3.141102064552623E-11</v>
      </c>
      <c r="E82" s="340">
        <f t="shared" si="11"/>
        <v>-3.141102064552623E-11</v>
      </c>
      <c r="F82" s="340"/>
      <c r="G82" s="340">
        <f t="shared" si="9"/>
        <v>3.1725130851981493E-9</v>
      </c>
    </row>
    <row r="83" spans="1:9" x14ac:dyDescent="0.25">
      <c r="A83" s="312"/>
      <c r="B83" s="312" t="s">
        <v>212</v>
      </c>
      <c r="C83" s="340">
        <f t="shared" si="10"/>
        <v>3.1725130851981493E-9</v>
      </c>
      <c r="D83" s="340">
        <f t="shared" si="8"/>
        <v>3.1725130851981494E-11</v>
      </c>
      <c r="E83" s="340">
        <f t="shared" si="11"/>
        <v>-3.1725130851981494E-11</v>
      </c>
      <c r="F83" s="340"/>
      <c r="G83" s="340">
        <f t="shared" si="9"/>
        <v>3.2042382160501307E-9</v>
      </c>
    </row>
    <row r="84" spans="1:9" x14ac:dyDescent="0.25">
      <c r="A84" s="312"/>
      <c r="B84" s="312" t="s">
        <v>213</v>
      </c>
      <c r="C84" s="340">
        <f t="shared" si="10"/>
        <v>3.2042382160501307E-9</v>
      </c>
      <c r="D84" s="340">
        <f t="shared" si="8"/>
        <v>3.2042382160501304E-11</v>
      </c>
      <c r="E84" s="340">
        <f t="shared" si="11"/>
        <v>-3.2042382160501304E-11</v>
      </c>
      <c r="F84" s="340"/>
      <c r="G84" s="340">
        <f t="shared" si="9"/>
        <v>3.2362805982106318E-9</v>
      </c>
    </row>
    <row r="85" spans="1:9" x14ac:dyDescent="0.25">
      <c r="A85" s="312"/>
      <c r="B85" s="312" t="s">
        <v>214</v>
      </c>
      <c r="C85" s="340">
        <f t="shared" si="10"/>
        <v>3.2362805982106318E-9</v>
      </c>
      <c r="D85" s="340">
        <f t="shared" si="8"/>
        <v>3.2362805982106316E-11</v>
      </c>
      <c r="E85" s="340">
        <f t="shared" si="11"/>
        <v>-3.2362805982106316E-11</v>
      </c>
      <c r="F85" s="340"/>
      <c r="G85" s="340">
        <f t="shared" si="9"/>
        <v>3.2686434041927381E-9</v>
      </c>
    </row>
    <row r="86" spans="1:9" x14ac:dyDescent="0.25">
      <c r="A86" s="312"/>
      <c r="B86" s="312" t="s">
        <v>215</v>
      </c>
      <c r="C86" s="340">
        <f t="shared" si="10"/>
        <v>3.2686434041927381E-9</v>
      </c>
      <c r="D86" s="340">
        <f t="shared" si="8"/>
        <v>3.2686434041927377E-11</v>
      </c>
      <c r="E86" s="340">
        <f t="shared" si="11"/>
        <v>-3.2686434041927377E-11</v>
      </c>
      <c r="F86" s="340"/>
      <c r="G86" s="340">
        <f t="shared" si="9"/>
        <v>3.3013298382346654E-9</v>
      </c>
    </row>
    <row r="87" spans="1:9" x14ac:dyDescent="0.25">
      <c r="A87" s="312"/>
      <c r="B87" s="312" t="s">
        <v>216</v>
      </c>
      <c r="C87" s="340">
        <f t="shared" si="10"/>
        <v>3.3013298382346654E-9</v>
      </c>
      <c r="D87" s="340">
        <f t="shared" si="8"/>
        <v>3.3013298382346656E-11</v>
      </c>
      <c r="E87" s="340">
        <f t="shared" si="11"/>
        <v>-3.3013298382346656E-11</v>
      </c>
      <c r="F87" s="340"/>
      <c r="G87" s="340">
        <f t="shared" si="9"/>
        <v>3.3343431366170118E-9</v>
      </c>
    </row>
    <row r="88" spans="1:9" x14ac:dyDescent="0.25">
      <c r="A88" s="312"/>
      <c r="B88" s="312" t="s">
        <v>217</v>
      </c>
      <c r="C88" s="340">
        <f t="shared" si="10"/>
        <v>3.3343431366170118E-9</v>
      </c>
      <c r="D88" s="340">
        <f t="shared" si="8"/>
        <v>3.3343431366170117E-11</v>
      </c>
      <c r="E88" s="340">
        <f t="shared" si="11"/>
        <v>-3.3343431366170117E-11</v>
      </c>
      <c r="F88" s="340"/>
      <c r="G88" s="340">
        <f t="shared" si="9"/>
        <v>3.3676865679831821E-9</v>
      </c>
    </row>
    <row r="89" spans="1:9" x14ac:dyDescent="0.25">
      <c r="A89" s="312"/>
      <c r="B89" s="312" t="s">
        <v>218</v>
      </c>
      <c r="C89" s="340">
        <f t="shared" si="10"/>
        <v>3.3676865679831821E-9</v>
      </c>
      <c r="D89" s="340">
        <f t="shared" si="8"/>
        <v>3.3676865679831822E-11</v>
      </c>
      <c r="E89" s="340">
        <f t="shared" si="11"/>
        <v>-3.3676865679831822E-11</v>
      </c>
      <c r="F89" s="340"/>
      <c r="G89" s="340">
        <f t="shared" si="9"/>
        <v>3.4013634336630139E-9</v>
      </c>
    </row>
    <row r="90" spans="1:9" x14ac:dyDescent="0.25">
      <c r="A90" s="312"/>
      <c r="B90" s="312" t="s">
        <v>219</v>
      </c>
      <c r="C90" s="340">
        <f t="shared" si="10"/>
        <v>3.4013634336630139E-9</v>
      </c>
      <c r="D90" s="340">
        <f t="shared" si="8"/>
        <v>3.4013634336630138E-11</v>
      </c>
      <c r="E90" s="340">
        <f t="shared" si="11"/>
        <v>-3.4013634336630138E-11</v>
      </c>
      <c r="F90" s="340"/>
      <c r="G90" s="340">
        <f t="shared" si="9"/>
        <v>3.4353770679996442E-9</v>
      </c>
    </row>
    <row r="91" spans="1:9" x14ac:dyDescent="0.25">
      <c r="A91" s="312"/>
      <c r="B91" s="312" t="s">
        <v>220</v>
      </c>
      <c r="C91" s="340">
        <f t="shared" si="10"/>
        <v>3.4353770679996442E-9</v>
      </c>
      <c r="D91" s="340">
        <f t="shared" si="8"/>
        <v>3.4353770679996438E-11</v>
      </c>
      <c r="E91" s="340">
        <f t="shared" si="11"/>
        <v>-3.4353770679996438E-11</v>
      </c>
      <c r="F91" s="340"/>
      <c r="G91" s="340">
        <f t="shared" si="9"/>
        <v>3.4697308386796404E-9</v>
      </c>
    </row>
    <row r="92" spans="1:9" x14ac:dyDescent="0.25">
      <c r="A92" s="312"/>
      <c r="B92" s="312" t="s">
        <v>221</v>
      </c>
      <c r="C92" s="340">
        <f t="shared" si="10"/>
        <v>3.4697308386796404E-9</v>
      </c>
      <c r="D92" s="340">
        <f t="shared" si="8"/>
        <v>3.4697308386796405E-11</v>
      </c>
      <c r="E92" s="340">
        <f t="shared" si="11"/>
        <v>-3.4697308386796405E-11</v>
      </c>
      <c r="F92" s="340"/>
      <c r="G92" s="340">
        <f t="shared" si="9"/>
        <v>3.5044281470664369E-9</v>
      </c>
    </row>
    <row r="93" spans="1:9" x14ac:dyDescent="0.25">
      <c r="A93" s="312"/>
      <c r="B93" s="312" t="s">
        <v>222</v>
      </c>
      <c r="C93" s="340">
        <f t="shared" si="10"/>
        <v>3.5044281470664369E-9</v>
      </c>
      <c r="D93" s="340">
        <f t="shared" si="8"/>
        <v>3.5044281470664365E-11</v>
      </c>
      <c r="E93" s="340">
        <f t="shared" si="11"/>
        <v>-3.5044281470664365E-11</v>
      </c>
      <c r="F93" s="340"/>
      <c r="G93" s="340">
        <f t="shared" si="9"/>
        <v>3.5394724285371012E-9</v>
      </c>
    </row>
    <row r="94" spans="1:9" x14ac:dyDescent="0.25">
      <c r="D94" s="345">
        <f>SUM(D10:D93)</f>
        <v>1757684.0859189252</v>
      </c>
      <c r="E94" s="345">
        <f>SUM(E10:E93)</f>
        <v>6069847.9999999991</v>
      </c>
    </row>
    <row r="95" spans="1:9" ht="39.950000000000003" customHeight="1" x14ac:dyDescent="0.25">
      <c r="A95" s="573" t="s">
        <v>410</v>
      </c>
      <c r="B95" s="573"/>
      <c r="C95" s="573"/>
      <c r="D95" s="573"/>
      <c r="E95" s="573"/>
      <c r="F95" s="573"/>
      <c r="G95" s="573"/>
      <c r="H95" s="573"/>
    </row>
    <row r="96" spans="1:9" x14ac:dyDescent="0.25">
      <c r="A96" s="192" t="s">
        <v>518</v>
      </c>
    </row>
    <row r="97" spans="1:2" x14ac:dyDescent="0.25">
      <c r="A97" s="192">
        <v>1</v>
      </c>
      <c r="B97" s="192" t="s">
        <v>519</v>
      </c>
    </row>
    <row r="98" spans="1:2" x14ac:dyDescent="0.25">
      <c r="A98" s="192">
        <v>2</v>
      </c>
      <c r="B98" s="192" t="s">
        <v>520</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58" zoomScale="90" zoomScaleNormal="100" zoomScaleSheetLayoutView="130" workbookViewId="0">
      <selection activeCell="E82" sqref="E82"/>
    </sheetView>
  </sheetViews>
  <sheetFormatPr defaultColWidth="8.7109375" defaultRowHeight="15" x14ac:dyDescent="0.25"/>
  <cols>
    <col min="1" max="1" width="8.7109375" style="192"/>
    <col min="2" max="2" width="7.5703125" style="192" bestFit="1" customWidth="1"/>
    <col min="3" max="3" width="30.5703125" style="192" customWidth="1"/>
    <col min="4" max="4" width="18.140625" style="192" bestFit="1" customWidth="1"/>
    <col min="5" max="9" width="11.28515625" style="192" bestFit="1" customWidth="1"/>
    <col min="10" max="11" width="12.42578125" style="192" bestFit="1" customWidth="1"/>
    <col min="12" max="13" width="8.7109375" style="192"/>
    <col min="14" max="14" width="24" style="192" hidden="1" customWidth="1"/>
    <col min="15" max="15" width="11.85546875" style="192" hidden="1" customWidth="1"/>
    <col min="16" max="16" width="9.5703125" style="192" hidden="1" customWidth="1"/>
    <col min="17" max="17" width="10.85546875" style="192" hidden="1" customWidth="1"/>
    <col min="18" max="18" width="11.28515625" style="192" hidden="1" customWidth="1"/>
    <col min="19" max="20" width="0" style="192" hidden="1" customWidth="1"/>
    <col min="21" max="21" width="24" style="192" hidden="1" customWidth="1"/>
    <col min="22" max="22" width="12.5703125" style="192" hidden="1" customWidth="1"/>
    <col min="23" max="23" width="0" style="192" hidden="1" customWidth="1"/>
    <col min="24" max="16384" width="8.7109375" style="192"/>
  </cols>
  <sheetData>
    <row r="2" spans="3:22" ht="14.45" x14ac:dyDescent="0.35">
      <c r="C2" s="565" t="s">
        <v>543</v>
      </c>
      <c r="D2" s="565"/>
      <c r="E2" s="565"/>
      <c r="F2" s="565"/>
      <c r="G2" s="565"/>
      <c r="H2" s="565"/>
      <c r="I2" s="565"/>
      <c r="J2" s="565"/>
      <c r="K2" s="565"/>
      <c r="L2" s="108"/>
    </row>
    <row r="4" spans="3:22" ht="14.45" x14ac:dyDescent="0.35">
      <c r="C4" s="273" t="s">
        <v>0</v>
      </c>
      <c r="D4" s="273"/>
      <c r="E4" s="274" t="s">
        <v>2</v>
      </c>
      <c r="F4" s="274" t="s">
        <v>3</v>
      </c>
      <c r="G4" s="274" t="s">
        <v>4</v>
      </c>
      <c r="H4" s="274" t="s">
        <v>5</v>
      </c>
      <c r="I4" s="274" t="s">
        <v>6</v>
      </c>
      <c r="J4" s="274" t="s">
        <v>165</v>
      </c>
      <c r="K4" s="274" t="s">
        <v>164</v>
      </c>
      <c r="N4" s="486"/>
      <c r="O4" s="486"/>
      <c r="P4" s="486"/>
      <c r="Q4" s="486"/>
      <c r="R4" s="486"/>
      <c r="S4" s="486"/>
      <c r="T4" s="486"/>
      <c r="U4" s="486"/>
      <c r="V4" s="486"/>
    </row>
    <row r="5" spans="3:22" ht="14.45" x14ac:dyDescent="0.35">
      <c r="C5" s="312" t="s">
        <v>360</v>
      </c>
      <c r="D5" s="312"/>
      <c r="E5" s="312"/>
      <c r="F5" s="312"/>
      <c r="G5" s="312"/>
      <c r="H5" s="312"/>
      <c r="I5" s="312"/>
      <c r="J5" s="312"/>
      <c r="K5" s="312"/>
      <c r="N5" s="575" t="s">
        <v>515</v>
      </c>
      <c r="O5" s="575"/>
      <c r="P5" s="575"/>
      <c r="Q5" s="575"/>
      <c r="R5" s="575"/>
      <c r="S5" s="486"/>
      <c r="T5" s="486"/>
      <c r="U5" s="575" t="s">
        <v>516</v>
      </c>
      <c r="V5" s="575"/>
    </row>
    <row r="6" spans="3:22" ht="14.45" x14ac:dyDescent="0.35">
      <c r="C6" s="312" t="s">
        <v>361</v>
      </c>
      <c r="D6" s="397"/>
      <c r="E6" s="312"/>
      <c r="F6" s="340">
        <f t="shared" ref="F6:K9" si="0">E15</f>
        <v>0</v>
      </c>
      <c r="G6" s="340">
        <f t="shared" si="0"/>
        <v>0</v>
      </c>
      <c r="H6" s="340">
        <f t="shared" si="0"/>
        <v>0</v>
      </c>
      <c r="I6" s="340">
        <f t="shared" si="0"/>
        <v>0</v>
      </c>
      <c r="J6" s="340">
        <f t="shared" si="0"/>
        <v>0</v>
      </c>
      <c r="K6" s="340">
        <f t="shared" si="0"/>
        <v>0</v>
      </c>
      <c r="N6" s="574" t="s">
        <v>517</v>
      </c>
      <c r="O6" s="574"/>
      <c r="P6" s="574"/>
      <c r="Q6" s="574"/>
      <c r="R6" s="574"/>
      <c r="S6" s="486"/>
      <c r="T6" s="486"/>
      <c r="U6" s="574" t="s">
        <v>517</v>
      </c>
      <c r="V6" s="574"/>
    </row>
    <row r="7" spans="3:22" ht="14.45" x14ac:dyDescent="0.35">
      <c r="C7" s="312" t="s">
        <v>441</v>
      </c>
      <c r="D7" s="397"/>
      <c r="E7" s="312"/>
      <c r="F7" s="340">
        <f t="shared" si="0"/>
        <v>270754.75074751495</v>
      </c>
      <c r="G7" s="340">
        <f t="shared" si="0"/>
        <v>307841.87765749032</v>
      </c>
      <c r="H7" s="340">
        <f t="shared" si="0"/>
        <v>347945.57562429196</v>
      </c>
      <c r="I7" s="340">
        <f t="shared" si="0"/>
        <v>391275.32874908845</v>
      </c>
      <c r="J7" s="340">
        <f t="shared" si="0"/>
        <v>438054.02811552311</v>
      </c>
      <c r="K7" s="340">
        <f t="shared" si="0"/>
        <v>488518.78877770866</v>
      </c>
      <c r="N7" s="487" t="s">
        <v>0</v>
      </c>
      <c r="O7" s="487" t="s">
        <v>159</v>
      </c>
      <c r="P7" s="487" t="s">
        <v>160</v>
      </c>
      <c r="Q7" s="487" t="s">
        <v>310</v>
      </c>
      <c r="R7" s="487" t="s">
        <v>311</v>
      </c>
      <c r="S7" s="486"/>
      <c r="T7" s="486"/>
      <c r="U7" s="488" t="s">
        <v>0</v>
      </c>
      <c r="V7" s="488" t="s">
        <v>479</v>
      </c>
    </row>
    <row r="8" spans="3:22" ht="14.45" x14ac:dyDescent="0.35">
      <c r="C8" s="312" t="s">
        <v>533</v>
      </c>
      <c r="D8" s="397"/>
      <c r="E8" s="312"/>
      <c r="F8" s="340">
        <f t="shared" si="0"/>
        <v>27655.215677337608</v>
      </c>
      <c r="G8" s="340">
        <f t="shared" si="0"/>
        <v>30755.698208243721</v>
      </c>
      <c r="H8" s="340">
        <f t="shared" si="0"/>
        <v>34200.356641287101</v>
      </c>
      <c r="I8" s="340">
        <f t="shared" si="0"/>
        <v>37904.723259952945</v>
      </c>
      <c r="J8" s="340">
        <f t="shared" si="0"/>
        <v>41886.485087227578</v>
      </c>
      <c r="K8" s="340">
        <f t="shared" si="0"/>
        <v>46164.448577931958</v>
      </c>
      <c r="N8" s="489" t="s">
        <v>362</v>
      </c>
      <c r="O8" s="489">
        <f>'F2'!C185</f>
        <v>3500</v>
      </c>
      <c r="P8" s="489">
        <f>'F2'!C186</f>
        <v>0</v>
      </c>
      <c r="Q8" s="489">
        <f>'F2'!C187</f>
        <v>0</v>
      </c>
      <c r="R8" s="489">
        <f>'F2'!C188</f>
        <v>0</v>
      </c>
      <c r="S8" s="486"/>
      <c r="T8" s="486"/>
      <c r="U8" s="489" t="s">
        <v>340</v>
      </c>
      <c r="V8" s="489">
        <f>'F6'!C163</f>
        <v>6000</v>
      </c>
    </row>
    <row r="9" spans="3:22" ht="14.45" x14ac:dyDescent="0.35">
      <c r="C9" s="312" t="str">
        <f>C18</f>
        <v xml:space="preserve">Horticulture Processing </v>
      </c>
      <c r="D9" s="312"/>
      <c r="E9" s="312"/>
      <c r="F9" s="340">
        <f>E18</f>
        <v>0</v>
      </c>
      <c r="G9" s="340">
        <f t="shared" si="0"/>
        <v>0</v>
      </c>
      <c r="H9" s="340">
        <f t="shared" si="0"/>
        <v>0</v>
      </c>
      <c r="I9" s="340">
        <f t="shared" si="0"/>
        <v>0</v>
      </c>
      <c r="J9" s="340">
        <f t="shared" si="0"/>
        <v>0</v>
      </c>
      <c r="K9" s="340">
        <f t="shared" si="0"/>
        <v>0</v>
      </c>
      <c r="N9" s="489" t="str">
        <f>'F2'!A189</f>
        <v>Consumables</v>
      </c>
      <c r="O9" s="489" t="e">
        <f>('F2'!B189*'F2'!C189/1000)*100</f>
        <v>#VALUE!</v>
      </c>
      <c r="P9" s="489" t="e">
        <f>O9</f>
        <v>#VALUE!</v>
      </c>
      <c r="Q9" s="489" t="e">
        <f t="shared" ref="Q9:R9" si="1">P9</f>
        <v>#VALUE!</v>
      </c>
      <c r="R9" s="489" t="e">
        <f t="shared" si="1"/>
        <v>#VALUE!</v>
      </c>
      <c r="S9" s="486"/>
      <c r="T9" s="486"/>
      <c r="U9" s="489" t="str">
        <f>'F6'!A164</f>
        <v>Other Consumbales</v>
      </c>
      <c r="V9" s="490">
        <f>'F6'!C164</f>
        <v>2000</v>
      </c>
    </row>
    <row r="10" spans="3:22" ht="14.45" x14ac:dyDescent="0.35">
      <c r="C10" s="312"/>
      <c r="D10" s="312"/>
      <c r="E10" s="312"/>
      <c r="F10" s="340"/>
      <c r="G10" s="340"/>
      <c r="H10" s="340"/>
      <c r="I10" s="340"/>
      <c r="J10" s="340"/>
      <c r="K10" s="340"/>
      <c r="N10" s="489" t="str">
        <f>'F2'!A190</f>
        <v xml:space="preserve">Daily Labour </v>
      </c>
      <c r="O10" s="491">
        <f>('F2'!B190*'F2'!C190)/('F2'!B5*'F2'!B6)</f>
        <v>1875</v>
      </c>
      <c r="P10" s="491">
        <f>O10</f>
        <v>1875</v>
      </c>
      <c r="Q10" s="491">
        <f t="shared" ref="Q10:R10" si="2">P10</f>
        <v>1875</v>
      </c>
      <c r="R10" s="491">
        <f t="shared" si="2"/>
        <v>1875</v>
      </c>
      <c r="S10" s="486"/>
      <c r="T10" s="486"/>
      <c r="U10" s="489" t="str">
        <f>'F6'!A165</f>
        <v xml:space="preserve">Daily Labour </v>
      </c>
      <c r="V10" s="490">
        <f>'F6'!B165*'F6'!C165/('F6'!B5*'F6'!B6)</f>
        <v>187.5</v>
      </c>
    </row>
    <row r="11" spans="3:22" ht="14.45" x14ac:dyDescent="0.35">
      <c r="C11" s="312"/>
      <c r="D11" s="312"/>
      <c r="E11" s="312"/>
      <c r="F11" s="340"/>
      <c r="G11" s="340"/>
      <c r="H11" s="340"/>
      <c r="I11" s="340"/>
      <c r="J11" s="340"/>
      <c r="K11" s="340"/>
      <c r="N11" s="489" t="str">
        <f>'F2'!A191</f>
        <v>Electricity Charges</v>
      </c>
      <c r="O11" s="491">
        <f>('F2'!B191*'F2'!C191)/('F2'!B5*'F2'!B6)</f>
        <v>268.56</v>
      </c>
      <c r="P11" s="491">
        <f>O11</f>
        <v>268.56</v>
      </c>
      <c r="Q11" s="491">
        <f t="shared" ref="Q11" si="3">P11</f>
        <v>268.56</v>
      </c>
      <c r="R11" s="491">
        <f t="shared" ref="R11" si="4">Q11</f>
        <v>268.56</v>
      </c>
      <c r="S11" s="486"/>
      <c r="T11" s="486"/>
      <c r="U11" s="489" t="str">
        <f>'F6'!A166</f>
        <v>Electricity Charges</v>
      </c>
      <c r="V11" s="489">
        <f>'F6'!B166*'F6'!C166/('F6'!B5*'F6'!B6)</f>
        <v>0</v>
      </c>
    </row>
    <row r="12" spans="3:22" ht="14.45" x14ac:dyDescent="0.35">
      <c r="C12" s="312" t="s">
        <v>1</v>
      </c>
      <c r="D12" s="312"/>
      <c r="E12" s="340"/>
      <c r="F12" s="340">
        <f t="shared" ref="F12:K12" si="5">SUM(F6:F11)</f>
        <v>298409.96642485255</v>
      </c>
      <c r="G12" s="340">
        <f t="shared" si="5"/>
        <v>338597.57586573402</v>
      </c>
      <c r="H12" s="340">
        <f t="shared" si="5"/>
        <v>382145.93226557906</v>
      </c>
      <c r="I12" s="340">
        <f t="shared" si="5"/>
        <v>429180.05200904142</v>
      </c>
      <c r="J12" s="340">
        <f t="shared" si="5"/>
        <v>479940.51320275071</v>
      </c>
      <c r="K12" s="340">
        <f t="shared" si="5"/>
        <v>534683.23735564062</v>
      </c>
      <c r="N12" s="489" t="str">
        <f>'F2'!A192</f>
        <v>Loading/Unloading Charges</v>
      </c>
      <c r="O12" s="489">
        <f>'F2'!C192*2</f>
        <v>24</v>
      </c>
      <c r="P12" s="489">
        <f>O12</f>
        <v>24</v>
      </c>
      <c r="Q12" s="489">
        <f t="shared" ref="Q12:R13" si="6">P12</f>
        <v>24</v>
      </c>
      <c r="R12" s="489">
        <f t="shared" si="6"/>
        <v>24</v>
      </c>
      <c r="S12" s="486"/>
      <c r="T12" s="486"/>
      <c r="U12" s="489" t="str">
        <f>'F6'!A167</f>
        <v>Loading/Unloading Charges</v>
      </c>
      <c r="V12" s="489">
        <f>'F6'!C167</f>
        <v>10</v>
      </c>
    </row>
    <row r="13" spans="3:22" ht="14.45" x14ac:dyDescent="0.35">
      <c r="C13" s="312"/>
      <c r="D13" s="312"/>
      <c r="E13" s="312"/>
      <c r="F13" s="340"/>
      <c r="G13" s="340"/>
      <c r="H13" s="340"/>
      <c r="I13" s="340"/>
      <c r="J13" s="340"/>
      <c r="K13" s="340"/>
      <c r="N13" s="489" t="str">
        <f>'F2'!A193</f>
        <v>Packaging Exp</v>
      </c>
      <c r="O13" s="489">
        <f>'F2'!C193*2</f>
        <v>10</v>
      </c>
      <c r="P13" s="489">
        <f>O13</f>
        <v>10</v>
      </c>
      <c r="Q13" s="489">
        <f t="shared" si="6"/>
        <v>10</v>
      </c>
      <c r="R13" s="489">
        <f t="shared" si="6"/>
        <v>10</v>
      </c>
      <c r="S13" s="486"/>
      <c r="T13" s="486"/>
      <c r="U13" s="489" t="str">
        <f>'F6'!A168</f>
        <v>packaging Exp</v>
      </c>
      <c r="V13" s="312">
        <f>'F6'!C168*100</f>
        <v>200</v>
      </c>
    </row>
    <row r="14" spans="3:22" ht="14.45" x14ac:dyDescent="0.35">
      <c r="C14" s="347" t="s">
        <v>342</v>
      </c>
      <c r="D14" s="312"/>
      <c r="E14" s="312"/>
      <c r="F14" s="340"/>
      <c r="G14" s="340"/>
      <c r="H14" s="340"/>
      <c r="I14" s="340"/>
      <c r="J14" s="340"/>
      <c r="K14" s="340"/>
      <c r="N14" s="489"/>
      <c r="O14" s="312"/>
      <c r="P14" s="312"/>
      <c r="Q14" s="312"/>
      <c r="R14" s="312"/>
      <c r="S14" s="486"/>
      <c r="T14" s="486"/>
      <c r="U14" s="312"/>
      <c r="V14" s="312"/>
    </row>
    <row r="15" spans="3:22" ht="14.45" x14ac:dyDescent="0.35">
      <c r="C15" s="312" t="str">
        <f>C6</f>
        <v>Agri Input</v>
      </c>
      <c r="D15" s="308">
        <v>0.05</v>
      </c>
      <c r="E15" s="340">
        <f>SUM('F5'!D197:D252)*$D$15</f>
        <v>0</v>
      </c>
      <c r="F15" s="340">
        <f>SUM('F5'!E197:E252)*$D$15</f>
        <v>0</v>
      </c>
      <c r="G15" s="340">
        <f>SUM('F5'!F197:F252)*$D$15</f>
        <v>0</v>
      </c>
      <c r="H15" s="340">
        <f>SUM('F5'!G197:G252)*$D$15</f>
        <v>0</v>
      </c>
      <c r="I15" s="340">
        <f>SUM('F5'!H197:H252)*$D$15</f>
        <v>0</v>
      </c>
      <c r="J15" s="340">
        <f>SUM('F5'!I197:I252)*$D$15</f>
        <v>0</v>
      </c>
      <c r="K15" s="340">
        <f>SUM('F5'!J197:J252)*$D$15</f>
        <v>0</v>
      </c>
      <c r="N15" s="312"/>
      <c r="O15" s="312"/>
      <c r="P15" s="312"/>
      <c r="Q15" s="312"/>
      <c r="R15" s="312"/>
      <c r="U15" s="312"/>
      <c r="V15" s="312"/>
    </row>
    <row r="16" spans="3:22" ht="14.45" x14ac:dyDescent="0.35">
      <c r="C16" s="312" t="str">
        <f>C7</f>
        <v>Trading</v>
      </c>
      <c r="D16" s="308">
        <v>0.01</v>
      </c>
      <c r="E16" s="340">
        <f>SUM('F1'!D233:D284)*$D$16</f>
        <v>270754.75074751495</v>
      </c>
      <c r="F16" s="340">
        <f>SUM('F1'!E233:E284)*$D$16</f>
        <v>307841.87765749032</v>
      </c>
      <c r="G16" s="340">
        <f>SUM('F1'!F233:F284)*$D$16</f>
        <v>347945.57562429196</v>
      </c>
      <c r="H16" s="340">
        <f>SUM('F1'!G233:G284)*$D$16</f>
        <v>391275.32874908845</v>
      </c>
      <c r="I16" s="340">
        <f>SUM('F1'!H233:H284)*$D$16</f>
        <v>438054.02811552311</v>
      </c>
      <c r="J16" s="340">
        <f>SUM('F1'!I233:I284)*$D$16</f>
        <v>488518.78877770866</v>
      </c>
      <c r="K16" s="340">
        <f>SUM('F1'!J233:J284)*$D$16</f>
        <v>542921.81492956448</v>
      </c>
      <c r="N16" s="487" t="s">
        <v>363</v>
      </c>
      <c r="O16" s="492" t="e">
        <f>SUM(O8:O13)</f>
        <v>#VALUE!</v>
      </c>
      <c r="P16" s="492" t="e">
        <f>SUM(P8:P13)</f>
        <v>#VALUE!</v>
      </c>
      <c r="Q16" s="492" t="e">
        <f>SUM(Q8:Q13)</f>
        <v>#VALUE!</v>
      </c>
      <c r="R16" s="492" t="e">
        <f>SUM(R8:R13)</f>
        <v>#VALUE!</v>
      </c>
      <c r="U16" s="487" t="s">
        <v>1</v>
      </c>
      <c r="V16" s="492">
        <f>SUM(V8:V15)</f>
        <v>8397.5</v>
      </c>
    </row>
    <row r="17" spans="1:18" ht="14.45" x14ac:dyDescent="0.35">
      <c r="C17" s="312" t="str">
        <f>C8</f>
        <v xml:space="preserve">Grain Processing </v>
      </c>
      <c r="D17" s="308">
        <v>0.01</v>
      </c>
      <c r="E17" s="340">
        <f>SUM('F2'!D185:D193)*$D$17</f>
        <v>27655.215677337608</v>
      </c>
      <c r="F17" s="340">
        <f>SUM('F2'!E185:E193)*$D$17</f>
        <v>30755.698208243721</v>
      </c>
      <c r="G17" s="340">
        <f>SUM('F2'!F185:F193)*$D$17</f>
        <v>34200.356641287101</v>
      </c>
      <c r="H17" s="340">
        <f>SUM('F2'!G185:G193)*$D$17</f>
        <v>37904.723259952945</v>
      </c>
      <c r="I17" s="340">
        <f>SUM('F2'!H185:H193)*$D$17</f>
        <v>41886.485087227578</v>
      </c>
      <c r="J17" s="340">
        <f>SUM('F2'!I185:I193)*$D$17</f>
        <v>46164.448577931958</v>
      </c>
      <c r="K17" s="340">
        <f>SUM('F2'!J185:J193)*$D$17</f>
        <v>50758.607344347591</v>
      </c>
    </row>
    <row r="18" spans="1:18" ht="14.45" x14ac:dyDescent="0.35">
      <c r="C18" s="312" t="s">
        <v>502</v>
      </c>
      <c r="D18" s="308">
        <v>0.05</v>
      </c>
      <c r="E18" s="340">
        <f>SUM('F6'!D163:D168)*$D$18</f>
        <v>0</v>
      </c>
      <c r="F18" s="340">
        <f>SUM('F6'!E163:E168)*$D$18</f>
        <v>0</v>
      </c>
      <c r="G18" s="340">
        <f>SUM('F6'!F163:F168)*$D$18</f>
        <v>0</v>
      </c>
      <c r="H18" s="340">
        <f>SUM('F6'!G163:G168)*$D$18</f>
        <v>0</v>
      </c>
      <c r="I18" s="340">
        <f>SUM('F6'!H163:H168)*$D$18</f>
        <v>0</v>
      </c>
      <c r="J18" s="340">
        <f>SUM('F6'!I163:I168)*$D$18</f>
        <v>0</v>
      </c>
      <c r="K18" s="340">
        <f>SUM('F6'!J163:J168)*$D$18</f>
        <v>0</v>
      </c>
    </row>
    <row r="19" spans="1:18" ht="14.45" x14ac:dyDescent="0.35">
      <c r="C19" s="312"/>
      <c r="D19" s="368"/>
      <c r="E19" s="340"/>
      <c r="F19" s="340"/>
      <c r="G19" s="340"/>
      <c r="H19" s="340"/>
      <c r="I19" s="340"/>
      <c r="J19" s="340"/>
      <c r="K19" s="340"/>
    </row>
    <row r="20" spans="1:18" ht="14.45" x14ac:dyDescent="0.35">
      <c r="C20" s="312"/>
      <c r="D20" s="312"/>
      <c r="E20" s="312"/>
      <c r="F20" s="340"/>
      <c r="G20" s="340"/>
      <c r="H20" s="340"/>
      <c r="I20" s="340"/>
      <c r="J20" s="340"/>
      <c r="K20" s="340"/>
    </row>
    <row r="21" spans="1:18" ht="14.45" x14ac:dyDescent="0.35">
      <c r="C21" s="312" t="s">
        <v>1</v>
      </c>
      <c r="D21" s="312"/>
      <c r="E21" s="309">
        <f t="shared" ref="E21:K21" si="7">SUM(E15:E20)</f>
        <v>298409.96642485255</v>
      </c>
      <c r="F21" s="340">
        <f t="shared" si="7"/>
        <v>338597.57586573402</v>
      </c>
      <c r="G21" s="340">
        <f t="shared" si="7"/>
        <v>382145.93226557906</v>
      </c>
      <c r="H21" s="340">
        <f t="shared" si="7"/>
        <v>429180.05200904142</v>
      </c>
      <c r="I21" s="340">
        <f t="shared" si="7"/>
        <v>479940.51320275071</v>
      </c>
      <c r="J21" s="340">
        <f t="shared" si="7"/>
        <v>534683.23735564062</v>
      </c>
      <c r="K21" s="340">
        <f t="shared" si="7"/>
        <v>593680.42227391212</v>
      </c>
    </row>
    <row r="23" spans="1:18" ht="41.1" customHeight="1" x14ac:dyDescent="0.25">
      <c r="A23" s="576" t="s">
        <v>411</v>
      </c>
      <c r="B23" s="576"/>
      <c r="C23" s="576"/>
      <c r="D23" s="576"/>
      <c r="E23" s="576"/>
      <c r="F23" s="576"/>
      <c r="G23" s="576"/>
      <c r="H23" s="576"/>
      <c r="I23" s="576"/>
      <c r="J23" s="576"/>
      <c r="K23" s="576"/>
      <c r="L23" s="493"/>
      <c r="M23" s="493"/>
      <c r="N23" s="493"/>
      <c r="O23" s="298"/>
      <c r="P23" s="298"/>
      <c r="Q23" s="298"/>
      <c r="R23" s="298"/>
    </row>
    <row r="24" spans="1:18" ht="14.45" x14ac:dyDescent="0.35">
      <c r="A24" s="192" t="s">
        <v>518</v>
      </c>
    </row>
    <row r="25" spans="1:18" ht="14.45" x14ac:dyDescent="0.35">
      <c r="A25" s="192">
        <v>1</v>
      </c>
      <c r="B25" s="192" t="s">
        <v>521</v>
      </c>
    </row>
    <row r="28" spans="1:18" ht="14.45" x14ac:dyDescent="0.35">
      <c r="B28" s="565" t="s">
        <v>544</v>
      </c>
      <c r="C28" s="565"/>
      <c r="D28" s="565"/>
      <c r="E28" s="565"/>
      <c r="F28" s="565"/>
      <c r="G28" s="565"/>
      <c r="H28" s="565"/>
      <c r="I28" s="565"/>
      <c r="J28" s="565"/>
      <c r="K28" s="565"/>
    </row>
    <row r="30" spans="1:18" x14ac:dyDescent="0.25">
      <c r="B30" s="578" t="s">
        <v>141</v>
      </c>
      <c r="C30" s="578" t="s">
        <v>0</v>
      </c>
      <c r="D30" s="581" t="s">
        <v>359</v>
      </c>
      <c r="E30" s="583" t="s">
        <v>154</v>
      </c>
      <c r="F30" s="584"/>
      <c r="G30" s="584"/>
      <c r="H30" s="584"/>
      <c r="I30" s="584"/>
      <c r="J30" s="584"/>
      <c r="K30" s="584"/>
    </row>
    <row r="31" spans="1:18" x14ac:dyDescent="0.25">
      <c r="B31" s="578"/>
      <c r="C31" s="578"/>
      <c r="D31" s="582"/>
      <c r="E31" s="70" t="s">
        <v>2</v>
      </c>
      <c r="F31" s="70" t="s">
        <v>3</v>
      </c>
      <c r="G31" s="70" t="s">
        <v>4</v>
      </c>
      <c r="H31" s="70" t="s">
        <v>5</v>
      </c>
      <c r="I31" s="70" t="s">
        <v>6</v>
      </c>
      <c r="J31" s="70" t="s">
        <v>165</v>
      </c>
      <c r="K31" s="70" t="s">
        <v>164</v>
      </c>
    </row>
    <row r="32" spans="1:18" ht="14.45" x14ac:dyDescent="0.35">
      <c r="B32" s="262"/>
      <c r="C32" s="263"/>
      <c r="D32" s="263"/>
      <c r="E32" s="264"/>
      <c r="F32" s="264"/>
      <c r="G32" s="264"/>
      <c r="H32" s="264"/>
      <c r="I32" s="264"/>
      <c r="J32" s="264"/>
      <c r="K32" s="264"/>
    </row>
    <row r="33" spans="2:11" ht="14.45" x14ac:dyDescent="0.35">
      <c r="B33" s="265" t="s">
        <v>169</v>
      </c>
      <c r="C33" s="266" t="s">
        <v>343</v>
      </c>
      <c r="D33" s="267"/>
      <c r="E33" s="268"/>
      <c r="F33" s="268"/>
      <c r="G33" s="268"/>
      <c r="H33" s="268"/>
      <c r="I33" s="268"/>
      <c r="J33" s="268"/>
      <c r="K33" s="268"/>
    </row>
    <row r="34" spans="2:11" ht="14.45" x14ac:dyDescent="0.35">
      <c r="B34" s="85">
        <v>1</v>
      </c>
      <c r="C34" s="269" t="s">
        <v>361</v>
      </c>
      <c r="D34" s="267">
        <v>14</v>
      </c>
      <c r="E34" s="268">
        <f>('F5'!D191/365)*$D$34</f>
        <v>0</v>
      </c>
      <c r="F34" s="268">
        <f>('F5'!E191/365)*$D$34</f>
        <v>0</v>
      </c>
      <c r="G34" s="268">
        <f>('F5'!F191/365)*$D$34</f>
        <v>0</v>
      </c>
      <c r="H34" s="268">
        <f>('F5'!G191/365)*$D$34</f>
        <v>0</v>
      </c>
      <c r="I34" s="268">
        <f>('F5'!H191/365)*$D$34</f>
        <v>0</v>
      </c>
      <c r="J34" s="268">
        <f>('F5'!I191/365)*$D$34</f>
        <v>0</v>
      </c>
      <c r="K34" s="268">
        <f>('F5'!J191/365)*$D$34</f>
        <v>0</v>
      </c>
    </row>
    <row r="35" spans="2:11" ht="14.45" x14ac:dyDescent="0.35">
      <c r="B35" s="85">
        <v>2</v>
      </c>
      <c r="C35" s="269" t="s">
        <v>356</v>
      </c>
      <c r="D35" s="267">
        <v>14</v>
      </c>
      <c r="E35" s="268">
        <f>('F4'!E29/365)*$D$35</f>
        <v>78936.986301369863</v>
      </c>
      <c r="F35" s="268">
        <f>('F4'!F29/365)*$D$35</f>
        <v>82883.835616438359</v>
      </c>
      <c r="G35" s="268">
        <f>('F4'!G29/365)*$D$35</f>
        <v>87028.027397260274</v>
      </c>
      <c r="H35" s="268">
        <f>('F4'!H29/365)*$D$35</f>
        <v>91379.428767123303</v>
      </c>
      <c r="I35" s="268">
        <f>('F4'!I29/365)*$D$35</f>
        <v>95948.400205479484</v>
      </c>
      <c r="J35" s="268">
        <f>('F4'!J29/365)*$D$35</f>
        <v>100745.82021575345</v>
      </c>
      <c r="K35" s="268">
        <f>('F4'!K29/365)*$D$35</f>
        <v>105783.11122654114</v>
      </c>
    </row>
    <row r="36" spans="2:11" ht="14.45" x14ac:dyDescent="0.35">
      <c r="B36" s="85">
        <v>3</v>
      </c>
      <c r="C36" s="269" t="s">
        <v>357</v>
      </c>
      <c r="D36" s="267">
        <v>14</v>
      </c>
      <c r="E36" s="268">
        <f>('F1'!D229/365)*$D$36</f>
        <v>1137719.5024306432</v>
      </c>
      <c r="F36" s="268">
        <f>('F1'!E229/365)*$D$36</f>
        <v>1302160.2932437763</v>
      </c>
      <c r="G36" s="268">
        <f>('F1'!F229/365)*$D$36</f>
        <v>1472496.6686243103</v>
      </c>
      <c r="H36" s="268">
        <f>('F1'!G229/365)*$D$36</f>
        <v>1656611.2808097897</v>
      </c>
      <c r="I36" s="268">
        <f>('F1'!H229/365)*$D$36</f>
        <v>1855456.1125422558</v>
      </c>
      <c r="J36" s="268">
        <f>('F1'!I229/365)*$D$36</f>
        <v>2070043.8992459436</v>
      </c>
      <c r="K36" s="268">
        <f>('F1'!J229/365)*$D$36</f>
        <v>2301451.8243386452</v>
      </c>
    </row>
    <row r="37" spans="2:11" ht="14.45" x14ac:dyDescent="0.35">
      <c r="B37" s="85">
        <v>4</v>
      </c>
      <c r="C37" s="269" t="s">
        <v>1207</v>
      </c>
      <c r="D37" s="267">
        <v>14</v>
      </c>
      <c r="E37" s="268">
        <f>('F2'!D181/365)*$D$37</f>
        <v>232666.8251178083</v>
      </c>
      <c r="F37" s="268">
        <f>('F2'!E181/365)*$D$37</f>
        <v>247557.50192534801</v>
      </c>
      <c r="G37" s="268">
        <f>('F2'!F181/365)*$D$37</f>
        <v>276181.33808546641</v>
      </c>
      <c r="H37" s="268">
        <f>('F2'!G181/365)*$D$37</f>
        <v>307048.66410678328</v>
      </c>
      <c r="I37" s="268">
        <f>('F2'!H181/365)*$D$37</f>
        <v>340312.26938501815</v>
      </c>
      <c r="J37" s="268">
        <f>('F2'!I181/365)*$D$37</f>
        <v>376134.61353080958</v>
      </c>
      <c r="K37" s="268">
        <f>('F2'!J181/365)*$D$37</f>
        <v>414688.41141771752</v>
      </c>
    </row>
    <row r="38" spans="2:11" ht="14.45" x14ac:dyDescent="0.35">
      <c r="B38" s="85">
        <v>5</v>
      </c>
      <c r="C38" s="269" t="s">
        <v>295</v>
      </c>
      <c r="D38" s="267">
        <v>14</v>
      </c>
      <c r="E38" s="268">
        <f>('F3'!D19/365)*$D$38</f>
        <v>8054.7945205479455</v>
      </c>
      <c r="F38" s="268">
        <f>('F3'!E19/365)*$D$38</f>
        <v>9303.287671232878</v>
      </c>
      <c r="G38" s="268">
        <f>('F3'!F19/365)*$D$38</f>
        <v>10656.493150684933</v>
      </c>
      <c r="H38" s="268">
        <f>('F3'!G19/365)*$D$38</f>
        <v>12121.760958904113</v>
      </c>
      <c r="I38" s="268">
        <f>('F3'!H19/365)*$D$38</f>
        <v>13706.914315068499</v>
      </c>
      <c r="J38" s="268">
        <f>('F3'!I19/365)*$D$38</f>
        <v>14392.260030821923</v>
      </c>
      <c r="K38" s="268">
        <f>('F3'!J19/365)*$D$38</f>
        <v>15111.873032363023</v>
      </c>
    </row>
    <row r="39" spans="2:11" ht="14.45" x14ac:dyDescent="0.35">
      <c r="B39" s="85">
        <v>6</v>
      </c>
      <c r="C39" s="269" t="s">
        <v>514</v>
      </c>
      <c r="D39" s="267">
        <v>14</v>
      </c>
      <c r="E39" s="268">
        <f>('F6'!D159/365)*$D$39</f>
        <v>0</v>
      </c>
      <c r="F39" s="268">
        <f>('F6'!E159/365)*$D$39</f>
        <v>0</v>
      </c>
      <c r="G39" s="268">
        <f>('F6'!F159/365)*$D$39</f>
        <v>0</v>
      </c>
      <c r="H39" s="268">
        <f>('F6'!G159/365)*$D$39</f>
        <v>0</v>
      </c>
      <c r="I39" s="268">
        <f>('F6'!H159/365)*$D$39</f>
        <v>0</v>
      </c>
      <c r="J39" s="268">
        <f>('F6'!I159/365)*$D$39</f>
        <v>0</v>
      </c>
      <c r="K39" s="268">
        <f>('F6'!J159/365)*$D$39</f>
        <v>0</v>
      </c>
    </row>
    <row r="40" spans="2:11" ht="14.45" x14ac:dyDescent="0.35">
      <c r="B40" s="85"/>
      <c r="C40" s="269"/>
      <c r="D40" s="267"/>
      <c r="E40" s="268"/>
      <c r="F40" s="268"/>
      <c r="G40" s="268"/>
      <c r="H40" s="268"/>
      <c r="I40" s="268"/>
      <c r="J40" s="268"/>
      <c r="K40" s="268"/>
    </row>
    <row r="41" spans="2:11" ht="14.45" x14ac:dyDescent="0.35">
      <c r="B41" s="265"/>
      <c r="C41" s="266" t="s">
        <v>167</v>
      </c>
      <c r="D41" s="267"/>
      <c r="E41" s="268">
        <f>SUM(E34:E40)</f>
        <v>1457378.1083703693</v>
      </c>
      <c r="F41" s="268">
        <f t="shared" ref="F41:K41" si="8">SUM(F34:F40)</f>
        <v>1641904.9184567956</v>
      </c>
      <c r="G41" s="268">
        <f t="shared" si="8"/>
        <v>1846362.5272577219</v>
      </c>
      <c r="H41" s="268">
        <f t="shared" si="8"/>
        <v>2067161.1346426003</v>
      </c>
      <c r="I41" s="268">
        <f t="shared" si="8"/>
        <v>2305423.6964478218</v>
      </c>
      <c r="J41" s="268">
        <f t="shared" si="8"/>
        <v>2561316.5930233286</v>
      </c>
      <c r="K41" s="268">
        <f t="shared" si="8"/>
        <v>2837035.2200152669</v>
      </c>
    </row>
    <row r="42" spans="2:11" ht="14.45" x14ac:dyDescent="0.35">
      <c r="B42" s="265" t="s">
        <v>170</v>
      </c>
      <c r="C42" s="266" t="s">
        <v>342</v>
      </c>
      <c r="D42" s="267"/>
      <c r="E42" s="268">
        <f>'Stock WC'!E21</f>
        <v>298409.96642485255</v>
      </c>
      <c r="F42" s="268">
        <f>'Stock WC'!F21</f>
        <v>338597.57586573402</v>
      </c>
      <c r="G42" s="268">
        <f>'Stock WC'!G21</f>
        <v>382145.93226557906</v>
      </c>
      <c r="H42" s="268">
        <f>'Stock WC'!H21</f>
        <v>429180.05200904142</v>
      </c>
      <c r="I42" s="268">
        <f>'Stock WC'!I21</f>
        <v>479940.51320275071</v>
      </c>
      <c r="J42" s="268">
        <f>'Stock WC'!J21</f>
        <v>534683.23735564062</v>
      </c>
      <c r="K42" s="268">
        <f>'Stock WC'!K21</f>
        <v>593680.42227391212</v>
      </c>
    </row>
    <row r="43" spans="2:11" ht="14.45" x14ac:dyDescent="0.35">
      <c r="B43" s="265"/>
      <c r="C43" s="269"/>
      <c r="D43" s="267"/>
      <c r="E43" s="268"/>
      <c r="F43" s="268"/>
      <c r="G43" s="268"/>
      <c r="H43" s="268"/>
      <c r="I43" s="268"/>
      <c r="J43" s="268"/>
      <c r="K43" s="268"/>
    </row>
    <row r="44" spans="2:11" ht="14.45" x14ac:dyDescent="0.35">
      <c r="B44" s="579" t="s">
        <v>1</v>
      </c>
      <c r="C44" s="580"/>
      <c r="D44" s="270"/>
      <c r="E44" s="271">
        <f>SUM(E41:E42)</f>
        <v>1755788.0747952219</v>
      </c>
      <c r="F44" s="271">
        <f t="shared" ref="F44:K44" si="9">SUM(F41:F42)</f>
        <v>1980502.4943225295</v>
      </c>
      <c r="G44" s="271">
        <f t="shared" si="9"/>
        <v>2228508.4595233011</v>
      </c>
      <c r="H44" s="271">
        <f t="shared" si="9"/>
        <v>2496341.1866516415</v>
      </c>
      <c r="I44" s="271">
        <f t="shared" si="9"/>
        <v>2785364.2096505724</v>
      </c>
      <c r="J44" s="271">
        <f t="shared" si="9"/>
        <v>3095999.8303789692</v>
      </c>
      <c r="K44" s="271">
        <f t="shared" si="9"/>
        <v>3430715.6422891789</v>
      </c>
    </row>
    <row r="45" spans="2:11" ht="14.45" x14ac:dyDescent="0.35">
      <c r="B45" s="265"/>
      <c r="C45" s="266"/>
      <c r="D45" s="267"/>
      <c r="E45" s="268"/>
      <c r="F45" s="268"/>
      <c r="G45" s="268"/>
      <c r="H45" s="268"/>
      <c r="I45" s="268"/>
      <c r="J45" s="268"/>
      <c r="K45" s="268"/>
    </row>
    <row r="46" spans="2:11" ht="34.5" customHeight="1" x14ac:dyDescent="0.35">
      <c r="B46" s="265" t="s">
        <v>171</v>
      </c>
      <c r="C46" s="269" t="s">
        <v>344</v>
      </c>
      <c r="D46" s="267"/>
      <c r="E46" s="268"/>
      <c r="F46" s="268"/>
      <c r="G46" s="268"/>
      <c r="H46" s="268"/>
      <c r="I46" s="268"/>
      <c r="J46" s="268"/>
      <c r="K46" s="268"/>
    </row>
    <row r="47" spans="2:11" ht="14.45" x14ac:dyDescent="0.35">
      <c r="B47" s="85">
        <v>1</v>
      </c>
      <c r="C47" s="269" t="str">
        <f t="shared" ref="C47:C52" si="10">C34</f>
        <v>Agri Input</v>
      </c>
      <c r="D47" s="267">
        <v>7</v>
      </c>
      <c r="E47" s="268">
        <f>('F5'!D262/365)*$D$47</f>
        <v>0</v>
      </c>
      <c r="F47" s="268">
        <f>('F5'!E262/365)*$D$47</f>
        <v>0</v>
      </c>
      <c r="G47" s="268">
        <f>('F5'!F262/365)*$D$47</f>
        <v>0</v>
      </c>
      <c r="H47" s="268">
        <f>('F5'!G262/365)*$D$47</f>
        <v>0</v>
      </c>
      <c r="I47" s="268">
        <f>('F5'!H262/365)*$D$47</f>
        <v>0</v>
      </c>
      <c r="J47" s="268">
        <f>('F5'!I262/365)*$D$47</f>
        <v>0</v>
      </c>
      <c r="K47" s="268">
        <f>('F5'!J262/365)*$D$47</f>
        <v>0</v>
      </c>
    </row>
    <row r="48" spans="2:11" ht="14.45" x14ac:dyDescent="0.35">
      <c r="B48" s="85">
        <v>2</v>
      </c>
      <c r="C48" s="269" t="str">
        <f t="shared" si="10"/>
        <v>Custom Hiring</v>
      </c>
      <c r="D48" s="267">
        <v>7</v>
      </c>
      <c r="E48" s="268">
        <f>('F4'!E37/365)*$D$49</f>
        <v>25981.315068493153</v>
      </c>
      <c r="F48" s="268">
        <f>('F4'!F37/365)*$D$49</f>
        <v>27280.380821917806</v>
      </c>
      <c r="G48" s="268">
        <f>('F4'!G37/365)*$D$49</f>
        <v>28644.399863013699</v>
      </c>
      <c r="H48" s="268">
        <f>('F4'!H37/365)*$D$49</f>
        <v>30076.619856164387</v>
      </c>
      <c r="I48" s="268">
        <f>('F4'!I37/365)*$D$49</f>
        <v>31580.45084897261</v>
      </c>
      <c r="J48" s="268">
        <f>('F4'!J37/365)*$D$49</f>
        <v>33159.473391421241</v>
      </c>
      <c r="K48" s="268">
        <f>('F4'!K37/365)*$D$49</f>
        <v>34817.447060992308</v>
      </c>
    </row>
    <row r="49" spans="1:12" ht="14.45" x14ac:dyDescent="0.35">
      <c r="B49" s="85">
        <v>3</v>
      </c>
      <c r="C49" s="269" t="str">
        <f t="shared" si="10"/>
        <v>Cleaning &amp; Grading</v>
      </c>
      <c r="D49" s="267">
        <v>7</v>
      </c>
      <c r="E49" s="268">
        <f>('F1'!D290/365)*$D$49</f>
        <v>518075.33964125538</v>
      </c>
      <c r="F49" s="268">
        <f>('F1'!E290/365)*$D$49</f>
        <v>594016.98419540538</v>
      </c>
      <c r="G49" s="268">
        <f>('F1'!F290/365)*$D$49</f>
        <v>671204.68457289191</v>
      </c>
      <c r="H49" s="268">
        <f>('F1'!G290/365)*$D$49</f>
        <v>754575.32254459267</v>
      </c>
      <c r="I49" s="268">
        <f>('F1'!H290/365)*$D$49</f>
        <v>844556.10334248864</v>
      </c>
      <c r="J49" s="268">
        <f>('F1'!I290/365)*$D$49</f>
        <v>941601.49537777319</v>
      </c>
      <c r="K49" s="268">
        <f>('F1'!J290/365)*$D$49</f>
        <v>1046194.8885456924</v>
      </c>
    </row>
    <row r="50" spans="1:12" ht="14.45" x14ac:dyDescent="0.35">
      <c r="B50" s="85">
        <v>4</v>
      </c>
      <c r="C50" s="269" t="str">
        <f t="shared" si="10"/>
        <v>Ragi Processing Mill</v>
      </c>
      <c r="D50" s="267">
        <v>7</v>
      </c>
      <c r="E50" s="268">
        <f>('F2'!D200/365)*$D$50</f>
        <v>52654.750898177983</v>
      </c>
      <c r="F50" s="268">
        <f>('F2'!E200/365)*$D$50</f>
        <v>59081.642801069218</v>
      </c>
      <c r="G50" s="268">
        <f>('F2'!F200/365)*$D$50</f>
        <v>65691.084753703195</v>
      </c>
      <c r="H50" s="268">
        <f>('F2'!G200/365)*$D$50</f>
        <v>72800.217128121643</v>
      </c>
      <c r="I50" s="268">
        <f>('F2'!H200/365)*$D$50</f>
        <v>80441.001110390076</v>
      </c>
      <c r="J50" s="268">
        <f>('F2'!I200/365)*$D$50</f>
        <v>88649.48240558205</v>
      </c>
      <c r="K50" s="268">
        <f>('F2'!J200/365)*$D$50</f>
        <v>97463.982160258631</v>
      </c>
    </row>
    <row r="51" spans="1:12" ht="14.45" x14ac:dyDescent="0.35">
      <c r="B51" s="85">
        <v>5</v>
      </c>
      <c r="C51" s="269" t="str">
        <f t="shared" si="10"/>
        <v>Warehouse</v>
      </c>
      <c r="D51" s="267">
        <v>7</v>
      </c>
      <c r="E51" s="268">
        <f>('F3'!D30/365)*$D$51</f>
        <v>1181.3698630136987</v>
      </c>
      <c r="F51" s="268">
        <f>('F3'!E30/365)*$D$51</f>
        <v>1240.4383561643835</v>
      </c>
      <c r="G51" s="268">
        <f>('F3'!F30/365)*$D$51</f>
        <v>1302.4602739726029</v>
      </c>
      <c r="H51" s="268">
        <f>('F3'!G30/365)*$D$51</f>
        <v>1367.5832876712332</v>
      </c>
      <c r="I51" s="268">
        <f>('F3'!H30/365)*$D$51</f>
        <v>1435.9624520547948</v>
      </c>
      <c r="J51" s="268">
        <f>('F3'!I30/365)*$D$51</f>
        <v>1507.760574657535</v>
      </c>
      <c r="K51" s="268">
        <f>('F3'!J30/365)*$D$51</f>
        <v>1583.1486033904116</v>
      </c>
    </row>
    <row r="52" spans="1:12" ht="14.45" x14ac:dyDescent="0.35">
      <c r="B52" s="85"/>
      <c r="C52" s="269" t="str">
        <f t="shared" si="10"/>
        <v>Processing Unit - Horti Commodity</v>
      </c>
      <c r="D52" s="267">
        <v>7</v>
      </c>
      <c r="E52" s="268">
        <f>('F6'!D177/365)*$D$52</f>
        <v>0</v>
      </c>
      <c r="F52" s="268">
        <f>('F6'!E177/365)*$D$52</f>
        <v>0</v>
      </c>
      <c r="G52" s="268">
        <f>('F6'!F177/365)*$D$52</f>
        <v>0</v>
      </c>
      <c r="H52" s="268">
        <f>('F6'!G177/365)*$D$52</f>
        <v>0</v>
      </c>
      <c r="I52" s="268">
        <f>('F6'!H177/365)*$D$52</f>
        <v>0</v>
      </c>
      <c r="J52" s="268">
        <f>('F6'!I177/365)*$D$52</f>
        <v>0</v>
      </c>
      <c r="K52" s="268">
        <f>('F6'!J177/365)*$D$52</f>
        <v>0</v>
      </c>
    </row>
    <row r="53" spans="1:12" ht="14.45" x14ac:dyDescent="0.35">
      <c r="B53" s="85"/>
      <c r="C53" s="269"/>
      <c r="D53" s="267"/>
      <c r="E53" s="268"/>
      <c r="F53" s="268"/>
      <c r="G53" s="268"/>
      <c r="H53" s="268"/>
      <c r="I53" s="268"/>
      <c r="J53" s="268"/>
      <c r="K53" s="268"/>
    </row>
    <row r="54" spans="1:12" ht="14.45" x14ac:dyDescent="0.35">
      <c r="B54" s="72"/>
      <c r="C54" s="266" t="s">
        <v>1</v>
      </c>
      <c r="D54" s="267"/>
      <c r="E54" s="271">
        <f>SUM(E47:E53)</f>
        <v>597892.77547094028</v>
      </c>
      <c r="F54" s="271">
        <f t="shared" ref="F54:K54" si="11">SUM(F47:F53)</f>
        <v>681619.44617455674</v>
      </c>
      <c r="G54" s="271">
        <f t="shared" si="11"/>
        <v>766842.62946358137</v>
      </c>
      <c r="H54" s="271">
        <f t="shared" si="11"/>
        <v>858819.74281654996</v>
      </c>
      <c r="I54" s="271">
        <f t="shared" si="11"/>
        <v>958013.5177539062</v>
      </c>
      <c r="J54" s="271">
        <f t="shared" si="11"/>
        <v>1064918.211749434</v>
      </c>
      <c r="K54" s="271">
        <f t="shared" si="11"/>
        <v>1180059.4663703337</v>
      </c>
    </row>
    <row r="55" spans="1:12" ht="14.45" x14ac:dyDescent="0.35">
      <c r="B55" s="265" t="s">
        <v>172</v>
      </c>
      <c r="C55" s="266" t="s">
        <v>152</v>
      </c>
      <c r="D55" s="267"/>
      <c r="E55" s="271">
        <f>E44-E54</f>
        <v>1157895.2993242815</v>
      </c>
      <c r="F55" s="271">
        <f t="shared" ref="F55:K55" si="12">F44-F54</f>
        <v>1298883.0481479727</v>
      </c>
      <c r="G55" s="271">
        <f t="shared" si="12"/>
        <v>1461665.8300597197</v>
      </c>
      <c r="H55" s="271">
        <f t="shared" si="12"/>
        <v>1637521.4438350915</v>
      </c>
      <c r="I55" s="271">
        <f t="shared" si="12"/>
        <v>1827350.6918966663</v>
      </c>
      <c r="J55" s="271">
        <f t="shared" si="12"/>
        <v>2031081.6186295352</v>
      </c>
      <c r="K55" s="271">
        <f t="shared" si="12"/>
        <v>2250656.1759188455</v>
      </c>
    </row>
    <row r="56" spans="1:12" ht="14.45" x14ac:dyDescent="0.35">
      <c r="B56" s="265"/>
      <c r="C56" s="266" t="s">
        <v>132</v>
      </c>
      <c r="D56" s="272">
        <v>0.25</v>
      </c>
      <c r="E56" s="271">
        <f>E55*$D$56</f>
        <v>289473.82483107038</v>
      </c>
      <c r="F56" s="271"/>
      <c r="G56" s="271"/>
      <c r="H56" s="271"/>
      <c r="I56" s="271"/>
      <c r="J56" s="271"/>
      <c r="K56" s="271"/>
    </row>
    <row r="57" spans="1:12" ht="14.45" x14ac:dyDescent="0.35">
      <c r="E57" s="310"/>
    </row>
    <row r="58" spans="1:12" ht="14.45" x14ac:dyDescent="0.35">
      <c r="E58" s="311"/>
    </row>
    <row r="59" spans="1:12" ht="36.950000000000003" customHeight="1" x14ac:dyDescent="0.25">
      <c r="A59" s="566" t="s">
        <v>406</v>
      </c>
      <c r="B59" s="577"/>
      <c r="C59" s="577"/>
      <c r="D59" s="577"/>
      <c r="E59" s="577"/>
      <c r="F59" s="577"/>
      <c r="G59" s="577"/>
      <c r="H59" s="577"/>
      <c r="I59" s="577"/>
      <c r="J59" s="577"/>
      <c r="K59" s="577"/>
      <c r="L59" s="577"/>
    </row>
    <row r="60" spans="1:12" ht="14.45" x14ac:dyDescent="0.35">
      <c r="A60" s="192" t="s">
        <v>522</v>
      </c>
    </row>
    <row r="61" spans="1:12" ht="14.45" x14ac:dyDescent="0.35">
      <c r="A61" s="192">
        <v>1</v>
      </c>
      <c r="B61" s="192" t="s">
        <v>523</v>
      </c>
    </row>
    <row r="62" spans="1:12" ht="14.45" x14ac:dyDescent="0.35">
      <c r="A62" s="192">
        <v>2</v>
      </c>
      <c r="B62" s="192" t="s">
        <v>524</v>
      </c>
    </row>
    <row r="63" spans="1:12" ht="14.45" x14ac:dyDescent="0.35">
      <c r="A63" s="192">
        <v>3</v>
      </c>
      <c r="B63" s="192" t="s">
        <v>525</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31496062992125984" right="0.19685039370078741" top="0.74803149606299213" bottom="0.74803149606299213" header="0.31496062992125984" footer="0.31496062992125984"/>
  <pageSetup paperSize="9" scale="67"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90" zoomScaleNormal="100" zoomScaleSheetLayoutView="90" workbookViewId="0">
      <selection activeCell="H48" sqref="A3:H48"/>
    </sheetView>
  </sheetViews>
  <sheetFormatPr defaultColWidth="8.7109375" defaultRowHeight="15" x14ac:dyDescent="0.25"/>
  <cols>
    <col min="1" max="1" width="44.42578125" style="192" customWidth="1"/>
    <col min="2" max="4" width="12.7109375" style="192" bestFit="1" customWidth="1"/>
    <col min="5" max="5" width="14" style="192" bestFit="1" customWidth="1"/>
    <col min="6" max="6" width="14.5703125" style="192" bestFit="1" customWidth="1"/>
    <col min="7" max="8" width="14" style="192" bestFit="1" customWidth="1"/>
    <col min="9" max="9" width="8.5703125" style="192" customWidth="1"/>
    <col min="10" max="10" width="10.140625" style="192" bestFit="1" customWidth="1"/>
    <col min="11" max="11" width="9.5703125" style="192" bestFit="1" customWidth="1"/>
    <col min="12" max="16384" width="8.7109375" style="192"/>
  </cols>
  <sheetData>
    <row r="1" spans="1:8" ht="14.45" x14ac:dyDescent="0.35">
      <c r="A1" s="563" t="s">
        <v>545</v>
      </c>
      <c r="B1" s="563"/>
      <c r="C1" s="563"/>
      <c r="D1" s="563"/>
      <c r="E1" s="563"/>
      <c r="F1" s="563"/>
      <c r="G1" s="563"/>
      <c r="H1" s="563"/>
    </row>
    <row r="2" spans="1:8" ht="14.45" x14ac:dyDescent="0.35">
      <c r="B2" s="346"/>
      <c r="C2" s="346"/>
      <c r="D2" s="346"/>
      <c r="E2" s="346"/>
      <c r="F2" s="346"/>
    </row>
    <row r="3" spans="1:8" ht="14.45" x14ac:dyDescent="0.35">
      <c r="A3" s="363" t="s">
        <v>0</v>
      </c>
      <c r="B3" s="364" t="s">
        <v>2</v>
      </c>
      <c r="C3" s="364" t="s">
        <v>3</v>
      </c>
      <c r="D3" s="364" t="s">
        <v>4</v>
      </c>
      <c r="E3" s="364" t="s">
        <v>5</v>
      </c>
      <c r="F3" s="364" t="s">
        <v>6</v>
      </c>
      <c r="G3" s="364" t="s">
        <v>165</v>
      </c>
      <c r="H3" s="364" t="s">
        <v>164</v>
      </c>
    </row>
    <row r="4" spans="1:8" ht="14.45" x14ac:dyDescent="0.35">
      <c r="A4" s="347" t="s">
        <v>126</v>
      </c>
      <c r="B4" s="312"/>
      <c r="C4" s="312"/>
      <c r="D4" s="312"/>
      <c r="E4" s="312"/>
      <c r="F4" s="312"/>
      <c r="G4" s="312"/>
      <c r="H4" s="312"/>
    </row>
    <row r="5" spans="1:8" ht="14.45" x14ac:dyDescent="0.35">
      <c r="A5" s="312" t="s">
        <v>1294</v>
      </c>
      <c r="B5" s="340">
        <f>'F1'!D229</f>
        <v>29661972.741941765</v>
      </c>
      <c r="C5" s="340">
        <f>'F1'!E229</f>
        <v>33949179.073855594</v>
      </c>
      <c r="D5" s="340">
        <f>'F1'!F229</f>
        <v>38390091.717705235</v>
      </c>
      <c r="E5" s="340">
        <f>'F1'!G229</f>
        <v>43190222.67825523</v>
      </c>
      <c r="F5" s="340">
        <f>'F1'!H229</f>
        <v>48374391.505565956</v>
      </c>
      <c r="G5" s="340">
        <f>'F1'!I229</f>
        <v>53969001.658912107</v>
      </c>
      <c r="H5" s="340">
        <f>'F1'!J229</f>
        <v>60002136.848828964</v>
      </c>
    </row>
    <row r="6" spans="1:8" ht="14.45" x14ac:dyDescent="0.35">
      <c r="A6" s="312" t="s">
        <v>1295</v>
      </c>
      <c r="B6" s="340">
        <f>'F2'!D181</f>
        <v>6065956.512000002</v>
      </c>
      <c r="C6" s="340">
        <f>'F2'!E181</f>
        <v>6454177.7287680013</v>
      </c>
      <c r="D6" s="340">
        <f>'F2'!F181</f>
        <v>7200442.0286568021</v>
      </c>
      <c r="E6" s="340">
        <f>'F2'!G181</f>
        <v>8005197.3142125634</v>
      </c>
      <c r="F6" s="340">
        <f>'F2'!H181</f>
        <v>8872427.0232522581</v>
      </c>
      <c r="G6" s="340">
        <f>'F2'!I181</f>
        <v>9806366.7099103928</v>
      </c>
      <c r="H6" s="340">
        <f>'F2'!J181</f>
        <v>10811519.297676206</v>
      </c>
    </row>
    <row r="7" spans="1:8" ht="14.45" x14ac:dyDescent="0.35">
      <c r="A7" s="312" t="s">
        <v>568</v>
      </c>
      <c r="B7" s="340">
        <f>'F3'!D19</f>
        <v>210000</v>
      </c>
      <c r="C7" s="340">
        <f>'F3'!E19</f>
        <v>242550.00000000003</v>
      </c>
      <c r="D7" s="340">
        <f>'F3'!F19</f>
        <v>277830.00000000006</v>
      </c>
      <c r="E7" s="340">
        <f>'F3'!G19</f>
        <v>316031.62500000012</v>
      </c>
      <c r="F7" s="340">
        <f>'F3'!H19</f>
        <v>357358.83750000014</v>
      </c>
      <c r="G7" s="340">
        <f>'F3'!I19</f>
        <v>375226.77937500016</v>
      </c>
      <c r="H7" s="340">
        <f>'F3'!J19</f>
        <v>393988.11834375019</v>
      </c>
    </row>
    <row r="8" spans="1:8" ht="14.45" x14ac:dyDescent="0.35">
      <c r="A8" s="312" t="s">
        <v>1296</v>
      </c>
      <c r="B8" s="340">
        <f>'F4'!E29</f>
        <v>2058000</v>
      </c>
      <c r="C8" s="340">
        <f>'F4'!F29</f>
        <v>2160900</v>
      </c>
      <c r="D8" s="340">
        <f>'F4'!G29</f>
        <v>2268945</v>
      </c>
      <c r="E8" s="340">
        <f>'F4'!H29</f>
        <v>2382392.2500000005</v>
      </c>
      <c r="F8" s="340">
        <f>'F4'!I29</f>
        <v>2501511.8625000007</v>
      </c>
      <c r="G8" s="340">
        <f>'F4'!J29</f>
        <v>2626587.4556250009</v>
      </c>
      <c r="H8" s="340">
        <f>'F4'!K29</f>
        <v>2757916.828406251</v>
      </c>
    </row>
    <row r="9" spans="1:8" ht="14.45" hidden="1" x14ac:dyDescent="0.35">
      <c r="A9" s="312" t="s">
        <v>1297</v>
      </c>
      <c r="B9" s="340">
        <f>'F5'!D191</f>
        <v>0</v>
      </c>
      <c r="C9" s="340">
        <f>'F5'!E191</f>
        <v>0</v>
      </c>
      <c r="D9" s="340">
        <f>'F5'!F191</f>
        <v>0</v>
      </c>
      <c r="E9" s="340">
        <f>'F5'!G191</f>
        <v>0</v>
      </c>
      <c r="F9" s="340">
        <f>'F5'!H191</f>
        <v>0</v>
      </c>
      <c r="G9" s="340">
        <f>'F5'!I191</f>
        <v>0</v>
      </c>
      <c r="H9" s="340">
        <f>'F5'!J191</f>
        <v>0</v>
      </c>
    </row>
    <row r="10" spans="1:8" ht="14.45" hidden="1" x14ac:dyDescent="0.35">
      <c r="A10" s="312" t="s">
        <v>513</v>
      </c>
      <c r="B10" s="340">
        <f>'F6'!D159</f>
        <v>0</v>
      </c>
      <c r="C10" s="340">
        <f>'F6'!E159</f>
        <v>0</v>
      </c>
      <c r="D10" s="340">
        <f>'F6'!F159</f>
        <v>0</v>
      </c>
      <c r="E10" s="340">
        <f>'F6'!G159</f>
        <v>0</v>
      </c>
      <c r="F10" s="340">
        <f>'F6'!H159</f>
        <v>0</v>
      </c>
      <c r="G10" s="340">
        <f>'F6'!I159</f>
        <v>0</v>
      </c>
      <c r="H10" s="340">
        <f>'F6'!J159</f>
        <v>0</v>
      </c>
    </row>
    <row r="11" spans="1:8" ht="14.45" x14ac:dyDescent="0.35">
      <c r="A11" s="347" t="s">
        <v>139</v>
      </c>
      <c r="B11" s="367">
        <f t="shared" ref="B11:H11" si="0">SUM(B5:B10)</f>
        <v>37995929.253941767</v>
      </c>
      <c r="C11" s="367">
        <f t="shared" si="0"/>
        <v>42806806.802623592</v>
      </c>
      <c r="D11" s="367">
        <f t="shared" si="0"/>
        <v>48137308.746362038</v>
      </c>
      <c r="E11" s="367">
        <f t="shared" si="0"/>
        <v>53893843.867467791</v>
      </c>
      <c r="F11" s="367">
        <f t="shared" si="0"/>
        <v>60105689.228818208</v>
      </c>
      <c r="G11" s="367">
        <f t="shared" si="0"/>
        <v>66777182.6038225</v>
      </c>
      <c r="H11" s="367">
        <f t="shared" si="0"/>
        <v>73965561.093255177</v>
      </c>
    </row>
    <row r="12" spans="1:8" ht="14.45" x14ac:dyDescent="0.35">
      <c r="A12" s="312"/>
      <c r="B12" s="340"/>
      <c r="C12" s="340"/>
      <c r="D12" s="340"/>
      <c r="E12" s="340"/>
      <c r="F12" s="340"/>
      <c r="G12" s="340"/>
      <c r="H12" s="340"/>
    </row>
    <row r="13" spans="1:8" ht="14.45" x14ac:dyDescent="0.35">
      <c r="A13" s="347" t="s">
        <v>307</v>
      </c>
      <c r="B13" s="340"/>
      <c r="C13" s="340"/>
      <c r="D13" s="340"/>
      <c r="E13" s="340"/>
      <c r="F13" s="340"/>
      <c r="G13" s="340"/>
      <c r="H13" s="340"/>
    </row>
    <row r="14" spans="1:8" ht="14.45" x14ac:dyDescent="0.35">
      <c r="A14" s="312" t="str">
        <f t="shared" ref="A14:A19" si="1">A5</f>
        <v>Facility 1 - Cleaning &amp; Grading</v>
      </c>
      <c r="B14" s="340">
        <f>'F1'!D290</f>
        <v>27013928.424151175</v>
      </c>
      <c r="C14" s="340">
        <f>'F1'!E290</f>
        <v>30973742.747331854</v>
      </c>
      <c r="D14" s="340">
        <f>'F1'!F290</f>
        <v>34998529.981300794</v>
      </c>
      <c r="E14" s="340">
        <f>'F1'!G290</f>
        <v>39345713.246968046</v>
      </c>
      <c r="F14" s="340">
        <f>'F1'!H290</f>
        <v>44037568.245715477</v>
      </c>
      <c r="G14" s="340">
        <f>'F1'!I290</f>
        <v>49097792.25898388</v>
      </c>
      <c r="H14" s="340">
        <f>'F1'!J290</f>
        <v>54551590.617025398</v>
      </c>
    </row>
    <row r="15" spans="1:8" ht="14.45" x14ac:dyDescent="0.35">
      <c r="A15" s="312" t="str">
        <f t="shared" si="1"/>
        <v>Facility 2 - Processing Unit- Ragi Mill</v>
      </c>
      <c r="B15" s="340">
        <f>'F2'!D200</f>
        <v>2745569.1539764232</v>
      </c>
      <c r="C15" s="340">
        <f>'F2'!E200</f>
        <v>3080685.6603414663</v>
      </c>
      <c r="D15" s="340">
        <f>'F2'!F200</f>
        <v>3425320.8478716668</v>
      </c>
      <c r="E15" s="340">
        <f>'F2'!G200</f>
        <v>3796011.3216806287</v>
      </c>
      <c r="F15" s="340">
        <f>'F2'!H200</f>
        <v>4194423.6293274825</v>
      </c>
      <c r="G15" s="340">
        <f>'F2'!I200</f>
        <v>4622437.2968624923</v>
      </c>
      <c r="H15" s="340">
        <f>'F2'!J200</f>
        <v>5082050.4983563432</v>
      </c>
    </row>
    <row r="16" spans="1:8" ht="14.45" x14ac:dyDescent="0.35">
      <c r="A16" s="312" t="str">
        <f t="shared" si="1"/>
        <v>Facility 3 - Warehouse</v>
      </c>
      <c r="B16" s="340">
        <f>'F3'!D30</f>
        <v>61600</v>
      </c>
      <c r="C16" s="340">
        <f>'F3'!E30</f>
        <v>64680</v>
      </c>
      <c r="D16" s="340">
        <f>'F3'!F30</f>
        <v>67914</v>
      </c>
      <c r="E16" s="340">
        <f>'F3'!G30</f>
        <v>71309.700000000012</v>
      </c>
      <c r="F16" s="340">
        <f>'F3'!H30</f>
        <v>74875.185000000012</v>
      </c>
      <c r="G16" s="340">
        <f>'F3'!I30</f>
        <v>78618.94425000003</v>
      </c>
      <c r="H16" s="340">
        <f>'F3'!J30</f>
        <v>82549.891462500033</v>
      </c>
    </row>
    <row r="17" spans="1:8" ht="14.45" x14ac:dyDescent="0.35">
      <c r="A17" s="312" t="str">
        <f t="shared" si="1"/>
        <v xml:space="preserve">Facility 4 - Custom Hiring </v>
      </c>
      <c r="B17" s="340">
        <f>'F4'!E37</f>
        <v>1354740</v>
      </c>
      <c r="C17" s="340">
        <f>'F4'!F37</f>
        <v>1422477</v>
      </c>
      <c r="D17" s="340">
        <f>'F4'!G37</f>
        <v>1493600.85</v>
      </c>
      <c r="E17" s="340">
        <f>'F4'!H37</f>
        <v>1568280.8925000003</v>
      </c>
      <c r="F17" s="340">
        <f>'F4'!I37</f>
        <v>1646694.9371250004</v>
      </c>
      <c r="G17" s="340">
        <f>'F4'!J37</f>
        <v>1729029.6839812505</v>
      </c>
      <c r="H17" s="340">
        <f>'F4'!K37</f>
        <v>1815481.1681803132</v>
      </c>
    </row>
    <row r="18" spans="1:8" ht="14.45" hidden="1" x14ac:dyDescent="0.35">
      <c r="A18" s="312" t="str">
        <f t="shared" si="1"/>
        <v>Facility 5 - Agri Input Centre</v>
      </c>
      <c r="B18" s="340">
        <f>'F5'!D262</f>
        <v>0</v>
      </c>
      <c r="C18" s="340">
        <f>'F5'!E262</f>
        <v>0</v>
      </c>
      <c r="D18" s="340">
        <f>'F5'!F262</f>
        <v>0</v>
      </c>
      <c r="E18" s="340">
        <f>'F5'!G262</f>
        <v>0</v>
      </c>
      <c r="F18" s="340">
        <f>'F5'!H262</f>
        <v>0</v>
      </c>
      <c r="G18" s="340">
        <f>'F5'!I262</f>
        <v>0</v>
      </c>
      <c r="H18" s="340">
        <f>'F5'!J262</f>
        <v>0</v>
      </c>
    </row>
    <row r="19" spans="1:8" ht="14.45" hidden="1" x14ac:dyDescent="0.35">
      <c r="A19" s="312" t="str">
        <f t="shared" si="1"/>
        <v>Facility 6 - Processing Unit - Horti Commodity</v>
      </c>
      <c r="B19" s="340">
        <f>'F6'!D177</f>
        <v>0</v>
      </c>
      <c r="C19" s="340">
        <f>'F6'!E177</f>
        <v>0</v>
      </c>
      <c r="D19" s="340">
        <f>'F6'!F177</f>
        <v>0</v>
      </c>
      <c r="E19" s="340">
        <f>'F6'!G177</f>
        <v>0</v>
      </c>
      <c r="F19" s="340">
        <f>'F6'!H177</f>
        <v>0</v>
      </c>
      <c r="G19" s="340">
        <f>'F6'!I177</f>
        <v>0</v>
      </c>
      <c r="H19" s="340">
        <f>'F6'!J177</f>
        <v>0</v>
      </c>
    </row>
    <row r="20" spans="1:8" ht="14.45" x14ac:dyDescent="0.35">
      <c r="A20" s="347" t="s">
        <v>317</v>
      </c>
      <c r="B20" s="367">
        <f t="shared" ref="B20:H20" si="2">SUM(B14:B19)</f>
        <v>31175837.578127597</v>
      </c>
      <c r="C20" s="367">
        <f t="shared" si="2"/>
        <v>35541585.407673322</v>
      </c>
      <c r="D20" s="367">
        <f t="shared" si="2"/>
        <v>39985365.679172464</v>
      </c>
      <c r="E20" s="367">
        <f t="shared" si="2"/>
        <v>44781315.161148675</v>
      </c>
      <c r="F20" s="367">
        <f t="shared" si="2"/>
        <v>49953561.99716796</v>
      </c>
      <c r="G20" s="367">
        <f t="shared" si="2"/>
        <v>55527878.184077621</v>
      </c>
      <c r="H20" s="367">
        <f t="shared" si="2"/>
        <v>61531672.175024554</v>
      </c>
    </row>
    <row r="21" spans="1:8" ht="14.45" x14ac:dyDescent="0.35">
      <c r="A21" s="312"/>
      <c r="B21" s="340"/>
      <c r="C21" s="340"/>
      <c r="D21" s="340"/>
      <c r="E21" s="340"/>
      <c r="F21" s="340"/>
      <c r="G21" s="340"/>
      <c r="H21" s="340"/>
    </row>
    <row r="22" spans="1:8" ht="14.45" x14ac:dyDescent="0.35">
      <c r="A22" s="347" t="s">
        <v>305</v>
      </c>
      <c r="B22" s="340"/>
      <c r="C22" s="340"/>
      <c r="D22" s="340"/>
      <c r="E22" s="340"/>
      <c r="F22" s="340"/>
      <c r="G22" s="340"/>
      <c r="H22" s="340"/>
    </row>
    <row r="23" spans="1:8" ht="14.45" x14ac:dyDescent="0.35">
      <c r="A23" s="312" t="str">
        <f t="shared" ref="A23:A28" si="3">A14</f>
        <v>Facility 1 - Cleaning &amp; Grading</v>
      </c>
      <c r="B23" s="340">
        <f>'F1'!D299</f>
        <v>300000</v>
      </c>
      <c r="C23" s="340">
        <f>'F1'!E299</f>
        <v>315000</v>
      </c>
      <c r="D23" s="340">
        <f>'F1'!F299</f>
        <v>330750</v>
      </c>
      <c r="E23" s="340">
        <f>'F1'!G299</f>
        <v>347287.50000000006</v>
      </c>
      <c r="F23" s="340">
        <f>'F1'!H299</f>
        <v>364651.87500000006</v>
      </c>
      <c r="G23" s="340">
        <f>'F1'!I299</f>
        <v>382884.46875000012</v>
      </c>
      <c r="H23" s="340">
        <f>'F1'!J299</f>
        <v>402028.69218750013</v>
      </c>
    </row>
    <row r="24" spans="1:8" ht="14.45" x14ac:dyDescent="0.35">
      <c r="A24" s="312" t="str">
        <f t="shared" si="3"/>
        <v>Facility 2 - Processing Unit- Ragi Mill</v>
      </c>
      <c r="B24" s="340">
        <f>'F2'!D208</f>
        <v>180000</v>
      </c>
      <c r="C24" s="340">
        <f>'F2'!E208</f>
        <v>189000</v>
      </c>
      <c r="D24" s="340">
        <f>'F2'!F208</f>
        <v>198450</v>
      </c>
      <c r="E24" s="340">
        <f>'F2'!G208</f>
        <v>208372.50000000003</v>
      </c>
      <c r="F24" s="340">
        <f>'F2'!H208</f>
        <v>218791.12500000003</v>
      </c>
      <c r="G24" s="340">
        <f>'F2'!I208</f>
        <v>229730.68125000005</v>
      </c>
      <c r="H24" s="340">
        <f>'F2'!J208</f>
        <v>241217.21531250008</v>
      </c>
    </row>
    <row r="25" spans="1:8" ht="14.45" x14ac:dyDescent="0.35">
      <c r="A25" s="312" t="str">
        <f t="shared" si="3"/>
        <v>Facility 3 - Warehouse</v>
      </c>
      <c r="B25" s="340">
        <f>'F3'!D36</f>
        <v>120000</v>
      </c>
      <c r="C25" s="340">
        <f>'F3'!E36</f>
        <v>126000</v>
      </c>
      <c r="D25" s="340">
        <f>'F3'!F36</f>
        <v>132300</v>
      </c>
      <c r="E25" s="340">
        <f>'F3'!G36</f>
        <v>138915.00000000003</v>
      </c>
      <c r="F25" s="340">
        <f>'F3'!H36</f>
        <v>145860.75000000003</v>
      </c>
      <c r="G25" s="340">
        <f>'F3'!I36</f>
        <v>153153.78750000003</v>
      </c>
      <c r="H25" s="340">
        <f>'F3'!J36</f>
        <v>160811.47687500005</v>
      </c>
    </row>
    <row r="26" spans="1:8" ht="14.45" x14ac:dyDescent="0.35">
      <c r="A26" s="312" t="str">
        <f t="shared" si="3"/>
        <v xml:space="preserve">Facility 4 - Custom Hiring </v>
      </c>
      <c r="B26" s="340">
        <f>'F4'!E44</f>
        <v>180000</v>
      </c>
      <c r="C26" s="340">
        <f>'F4'!F44</f>
        <v>189000</v>
      </c>
      <c r="D26" s="340">
        <f>'F4'!G44</f>
        <v>198450</v>
      </c>
      <c r="E26" s="340">
        <f>'F4'!H44</f>
        <v>208372.50000000003</v>
      </c>
      <c r="F26" s="340">
        <f>'F4'!I44</f>
        <v>218791.12500000003</v>
      </c>
      <c r="G26" s="340">
        <f>'F4'!J44</f>
        <v>229730.68125000005</v>
      </c>
      <c r="H26" s="340">
        <f>'F4'!K44</f>
        <v>241217.21531250008</v>
      </c>
    </row>
    <row r="27" spans="1:8" ht="14.45" hidden="1" x14ac:dyDescent="0.35">
      <c r="A27" s="312" t="str">
        <f t="shared" si="3"/>
        <v>Facility 5 - Agri Input Centre</v>
      </c>
      <c r="B27" s="340">
        <f>'F5'!D273</f>
        <v>0</v>
      </c>
      <c r="C27" s="340">
        <f>'F5'!E273</f>
        <v>0</v>
      </c>
      <c r="D27" s="340">
        <f>'F5'!F273</f>
        <v>0</v>
      </c>
      <c r="E27" s="340">
        <f>'F5'!G273</f>
        <v>0</v>
      </c>
      <c r="F27" s="340">
        <f>'F5'!H273</f>
        <v>0</v>
      </c>
      <c r="G27" s="340">
        <f>'F5'!I273</f>
        <v>0</v>
      </c>
      <c r="H27" s="340">
        <f>'F5'!J273</f>
        <v>0</v>
      </c>
    </row>
    <row r="28" spans="1:8" ht="14.45" hidden="1" x14ac:dyDescent="0.35">
      <c r="A28" s="312" t="str">
        <f t="shared" si="3"/>
        <v>Facility 6 - Processing Unit - Horti Commodity</v>
      </c>
      <c r="B28" s="340">
        <f>'F6'!D185</f>
        <v>0</v>
      </c>
      <c r="C28" s="340">
        <f>'F6'!E185</f>
        <v>0</v>
      </c>
      <c r="D28" s="340">
        <f>'F6'!F185</f>
        <v>0</v>
      </c>
      <c r="E28" s="340">
        <f>'F6'!G185</f>
        <v>0</v>
      </c>
      <c r="F28" s="340">
        <f>'F6'!H185</f>
        <v>0</v>
      </c>
      <c r="G28" s="340">
        <f>'F6'!I185</f>
        <v>0</v>
      </c>
      <c r="H28" s="340">
        <f>'F6'!J185</f>
        <v>0</v>
      </c>
    </row>
    <row r="29" spans="1:8" ht="14.45" x14ac:dyDescent="0.35">
      <c r="A29" s="312" t="s">
        <v>9</v>
      </c>
      <c r="B29" s="340">
        <f>Other!E22</f>
        <v>1858329.1445559999</v>
      </c>
      <c r="C29" s="340">
        <f>Other!F22</f>
        <v>1933732.9091119999</v>
      </c>
      <c r="D29" s="340">
        <f>Other!G22</f>
        <v>2013374.1736679999</v>
      </c>
      <c r="E29" s="340">
        <f>Other!H22</f>
        <v>2097464.8132240004</v>
      </c>
      <c r="F29" s="340">
        <f>Other!I22</f>
        <v>2186227.2965300004</v>
      </c>
      <c r="G29" s="340">
        <f>Other!J22</f>
        <v>2279895.2157735005</v>
      </c>
      <c r="H29" s="340">
        <f>Other!K22</f>
        <v>2378713.8427513754</v>
      </c>
    </row>
    <row r="30" spans="1:8" ht="14.45" x14ac:dyDescent="0.35">
      <c r="A30" s="347" t="s">
        <v>321</v>
      </c>
      <c r="B30" s="367">
        <f t="shared" ref="B30:H30" si="4">SUM(B23:B29)</f>
        <v>2638329.1445559999</v>
      </c>
      <c r="C30" s="367">
        <f t="shared" si="4"/>
        <v>2752732.9091119999</v>
      </c>
      <c r="D30" s="367">
        <f t="shared" si="4"/>
        <v>2873324.1736679999</v>
      </c>
      <c r="E30" s="367">
        <f t="shared" si="4"/>
        <v>3000412.3132240004</v>
      </c>
      <c r="F30" s="367">
        <f t="shared" si="4"/>
        <v>3134322.1715300004</v>
      </c>
      <c r="G30" s="367">
        <f t="shared" si="4"/>
        <v>3275394.8345235009</v>
      </c>
      <c r="H30" s="367">
        <f t="shared" si="4"/>
        <v>3423988.4424388758</v>
      </c>
    </row>
    <row r="31" spans="1:8" ht="14.45" x14ac:dyDescent="0.35">
      <c r="A31" s="312"/>
      <c r="B31" s="340"/>
      <c r="C31" s="340"/>
      <c r="D31" s="340"/>
      <c r="E31" s="340"/>
      <c r="F31" s="340"/>
      <c r="G31" s="340"/>
      <c r="H31" s="340"/>
    </row>
    <row r="32" spans="1:8" ht="14.45" x14ac:dyDescent="0.35">
      <c r="A32" s="347" t="s">
        <v>326</v>
      </c>
      <c r="B32" s="367">
        <f t="shared" ref="B32:H32" si="5">B20+B30</f>
        <v>33814166.722683594</v>
      </c>
      <c r="C32" s="367">
        <f t="shared" si="5"/>
        <v>38294318.316785321</v>
      </c>
      <c r="D32" s="367">
        <f t="shared" si="5"/>
        <v>42858689.852840461</v>
      </c>
      <c r="E32" s="367">
        <f t="shared" si="5"/>
        <v>47781727.474372678</v>
      </c>
      <c r="F32" s="367">
        <f t="shared" si="5"/>
        <v>53087884.168697961</v>
      </c>
      <c r="G32" s="367">
        <f t="shared" si="5"/>
        <v>58803273.01860112</v>
      </c>
      <c r="H32" s="367">
        <f t="shared" si="5"/>
        <v>64955660.617463432</v>
      </c>
    </row>
    <row r="33" spans="1:10" ht="14.45" x14ac:dyDescent="0.35">
      <c r="A33" s="312"/>
      <c r="B33" s="340"/>
      <c r="C33" s="340"/>
      <c r="D33" s="340"/>
      <c r="E33" s="340"/>
      <c r="F33" s="340"/>
      <c r="G33" s="340"/>
      <c r="H33" s="340"/>
    </row>
    <row r="34" spans="1:10" ht="14.45" x14ac:dyDescent="0.35">
      <c r="A34" s="347" t="s">
        <v>687</v>
      </c>
      <c r="B34" s="367">
        <f t="shared" ref="B34:H34" si="6">B11-B32</f>
        <v>4181762.5312581733</v>
      </c>
      <c r="C34" s="367">
        <f t="shared" si="6"/>
        <v>4512488.4858382717</v>
      </c>
      <c r="D34" s="367">
        <f t="shared" si="6"/>
        <v>5278618.8935215771</v>
      </c>
      <c r="E34" s="367">
        <f t="shared" si="6"/>
        <v>6112116.3930951133</v>
      </c>
      <c r="F34" s="367">
        <f t="shared" si="6"/>
        <v>7017805.0601202473</v>
      </c>
      <c r="G34" s="367">
        <f t="shared" si="6"/>
        <v>7973909.58522138</v>
      </c>
      <c r="H34" s="367">
        <f t="shared" si="6"/>
        <v>9009900.4757917449</v>
      </c>
      <c r="J34" s="310">
        <f>B43+B36+B37</f>
        <v>3366955.974613918</v>
      </c>
    </row>
    <row r="35" spans="1:10" ht="14.45" x14ac:dyDescent="0.35">
      <c r="A35" s="312"/>
      <c r="B35" s="340"/>
      <c r="C35" s="340"/>
      <c r="D35" s="340"/>
      <c r="E35" s="340"/>
      <c r="F35" s="340"/>
      <c r="G35" s="340"/>
      <c r="H35" s="340"/>
      <c r="J35" s="192">
        <f>'Stock WC'!E56</f>
        <v>289473.82483107038</v>
      </c>
    </row>
    <row r="36" spans="1:10" ht="14.45" x14ac:dyDescent="0.35">
      <c r="A36" s="360" t="s">
        <v>17</v>
      </c>
      <c r="B36" s="340">
        <f>Other!C62</f>
        <v>934623.5443999999</v>
      </c>
      <c r="C36" s="340">
        <f>Other!D62</f>
        <v>934623.5443999999</v>
      </c>
      <c r="D36" s="340">
        <f>Other!E62</f>
        <v>934623.5443999999</v>
      </c>
      <c r="E36" s="340">
        <f>Other!F62</f>
        <v>934623.5443999999</v>
      </c>
      <c r="F36" s="340">
        <f>Other!G62</f>
        <v>934623.5443999999</v>
      </c>
      <c r="G36" s="340">
        <f>Other!H62</f>
        <v>934623.5443999999</v>
      </c>
      <c r="H36" s="340">
        <f>Other!I62</f>
        <v>934623.5443999999</v>
      </c>
      <c r="J36" s="310">
        <f>J34+J35</f>
        <v>3656429.7994449884</v>
      </c>
    </row>
    <row r="37" spans="1:10" ht="14.45" x14ac:dyDescent="0.35">
      <c r="A37" s="360" t="s">
        <v>134</v>
      </c>
      <c r="B37" s="340">
        <f>Other!C82</f>
        <v>100000</v>
      </c>
      <c r="C37" s="340">
        <f>Other!D82</f>
        <v>100000</v>
      </c>
      <c r="D37" s="340">
        <f>Other!E82</f>
        <v>100000</v>
      </c>
      <c r="E37" s="340">
        <f>Other!F82</f>
        <v>100000</v>
      </c>
      <c r="F37" s="340">
        <f>Other!G82</f>
        <v>100000</v>
      </c>
      <c r="G37" s="340">
        <f>Other!H82</f>
        <v>0</v>
      </c>
      <c r="H37" s="340">
        <f>Other!I82</f>
        <v>0</v>
      </c>
    </row>
    <row r="38" spans="1:10" ht="14.45" x14ac:dyDescent="0.35">
      <c r="A38" s="312"/>
      <c r="B38" s="340"/>
      <c r="C38" s="340"/>
      <c r="D38" s="340"/>
      <c r="E38" s="340"/>
      <c r="F38" s="340"/>
      <c r="G38" s="340"/>
      <c r="H38" s="340"/>
    </row>
    <row r="39" spans="1:10" ht="14.45" x14ac:dyDescent="0.35">
      <c r="A39" s="347" t="s">
        <v>135</v>
      </c>
      <c r="B39" s="367">
        <f>B34-B36-B37</f>
        <v>3147138.9868581733</v>
      </c>
      <c r="C39" s="367">
        <f t="shared" ref="C39:H39" si="7">C34-C36-C37</f>
        <v>3477864.9414382717</v>
      </c>
      <c r="D39" s="367">
        <f t="shared" si="7"/>
        <v>4243995.3491215771</v>
      </c>
      <c r="E39" s="367">
        <f t="shared" si="7"/>
        <v>5077492.8486951133</v>
      </c>
      <c r="F39" s="367">
        <f t="shared" si="7"/>
        <v>5983181.5157202473</v>
      </c>
      <c r="G39" s="367">
        <f t="shared" si="7"/>
        <v>7039286.04082138</v>
      </c>
      <c r="H39" s="367">
        <f t="shared" si="7"/>
        <v>8075276.9313917449</v>
      </c>
    </row>
    <row r="40" spans="1:10" ht="14.45" x14ac:dyDescent="0.35">
      <c r="A40" s="312"/>
      <c r="B40" s="340"/>
      <c r="C40" s="340"/>
      <c r="D40" s="340"/>
      <c r="E40" s="340"/>
      <c r="F40" s="340"/>
      <c r="G40" s="340"/>
      <c r="H40" s="340"/>
    </row>
    <row r="41" spans="1:10" ht="14.45" x14ac:dyDescent="0.35">
      <c r="A41" s="312" t="s">
        <v>24</v>
      </c>
      <c r="B41" s="340">
        <f>CF!C27+CF!C29</f>
        <v>814806.55664425506</v>
      </c>
      <c r="C41" s="340">
        <f>CF!D27+CF!D29</f>
        <v>713107.84654143872</v>
      </c>
      <c r="D41" s="340">
        <f>CF!E27+CF!E29</f>
        <v>532874.43488211534</v>
      </c>
      <c r="E41" s="340">
        <f>CF!F27+CF!F29</f>
        <v>328874.26343543478</v>
      </c>
      <c r="F41" s="340">
        <f>CF!G27+CF!G29</f>
        <v>219282.08302760028</v>
      </c>
      <c r="G41" s="340">
        <f>CF!H27+CF!H29</f>
        <v>243729.79423554457</v>
      </c>
      <c r="H41" s="340">
        <f>CF!I27+CF!I29</f>
        <v>270078.74111026188</v>
      </c>
    </row>
    <row r="42" spans="1:10" ht="14.45" x14ac:dyDescent="0.35">
      <c r="A42" s="312"/>
      <c r="B42" s="340"/>
      <c r="C42" s="340"/>
      <c r="D42" s="340"/>
      <c r="E42" s="340"/>
      <c r="F42" s="340"/>
      <c r="G42" s="340"/>
      <c r="H42" s="340"/>
    </row>
    <row r="43" spans="1:10" ht="14.45" x14ac:dyDescent="0.35">
      <c r="A43" s="312" t="s">
        <v>25</v>
      </c>
      <c r="B43" s="340">
        <f>B39-B41</f>
        <v>2332332.430213918</v>
      </c>
      <c r="C43" s="340">
        <f t="shared" ref="C43:H43" si="8">C39-C41</f>
        <v>2764757.0948968329</v>
      </c>
      <c r="D43" s="340">
        <f t="shared" si="8"/>
        <v>3711120.9142394615</v>
      </c>
      <c r="E43" s="340">
        <f t="shared" si="8"/>
        <v>4748618.5852596788</v>
      </c>
      <c r="F43" s="340">
        <f t="shared" si="8"/>
        <v>5763899.432692647</v>
      </c>
      <c r="G43" s="340">
        <f t="shared" si="8"/>
        <v>6795556.2465858357</v>
      </c>
      <c r="H43" s="340">
        <f t="shared" si="8"/>
        <v>7805198.1902814833</v>
      </c>
    </row>
    <row r="44" spans="1:10" ht="14.45" x14ac:dyDescent="0.35">
      <c r="A44" s="312" t="s">
        <v>26</v>
      </c>
      <c r="B44" s="340">
        <f>Other!B95</f>
        <v>262202.27139961865</v>
      </c>
      <c r="C44" s="340">
        <f>Other!C95</f>
        <v>457591.10651717661</v>
      </c>
      <c r="D44" s="340">
        <f>Other!D95</f>
        <v>773272.51050126005</v>
      </c>
      <c r="E44" s="340">
        <f>Other!E95</f>
        <v>1101965.6710782663</v>
      </c>
      <c r="F44" s="340">
        <f>Other!F95</f>
        <v>1416161.7957258257</v>
      </c>
      <c r="G44" s="340">
        <f>Other!G95</f>
        <v>1727392.6332137941</v>
      </c>
      <c r="H44" s="340">
        <f>Other!H95</f>
        <v>2026849.9476962411</v>
      </c>
    </row>
    <row r="45" spans="1:10" ht="14.45" x14ac:dyDescent="0.35">
      <c r="A45" s="347" t="s">
        <v>28</v>
      </c>
      <c r="B45" s="340">
        <f>B43-B44</f>
        <v>2070130.1588142994</v>
      </c>
      <c r="C45" s="340">
        <f>C43-C44</f>
        <v>2307165.9883796563</v>
      </c>
      <c r="D45" s="340">
        <f>D43-D44</f>
        <v>2937848.4037382016</v>
      </c>
      <c r="E45" s="340">
        <f>E43-E44</f>
        <v>3646652.9141814122</v>
      </c>
      <c r="F45" s="340">
        <f>F43-F44</f>
        <v>4347737.6369668208</v>
      </c>
      <c r="G45" s="340">
        <f t="shared" ref="G45:H45" si="9">G43-G44</f>
        <v>5068163.6133720418</v>
      </c>
      <c r="H45" s="340">
        <f t="shared" si="9"/>
        <v>5778348.2425852418</v>
      </c>
    </row>
    <row r="46" spans="1:10" ht="14.45" x14ac:dyDescent="0.35">
      <c r="A46" s="347"/>
      <c r="B46" s="340"/>
      <c r="C46" s="340"/>
      <c r="D46" s="340"/>
      <c r="E46" s="340"/>
      <c r="F46" s="340"/>
      <c r="G46" s="340"/>
      <c r="H46" s="340"/>
    </row>
    <row r="47" spans="1:10" ht="14.45" x14ac:dyDescent="0.35">
      <c r="A47" s="312" t="s">
        <v>1194</v>
      </c>
      <c r="B47" s="340"/>
      <c r="C47" s="340">
        <f t="shared" ref="C47:H47" si="10">+B45*0.25</f>
        <v>517532.53970357485</v>
      </c>
      <c r="D47" s="340">
        <f t="shared" si="10"/>
        <v>576791.49709491408</v>
      </c>
      <c r="E47" s="340">
        <f t="shared" si="10"/>
        <v>734462.1009345504</v>
      </c>
      <c r="F47" s="340">
        <f t="shared" si="10"/>
        <v>911663.22854535305</v>
      </c>
      <c r="G47" s="340">
        <f t="shared" si="10"/>
        <v>1086934.4092417052</v>
      </c>
      <c r="H47" s="340">
        <f t="shared" si="10"/>
        <v>1267040.9033430105</v>
      </c>
    </row>
    <row r="48" spans="1:10" ht="14.45" x14ac:dyDescent="0.35">
      <c r="A48" s="318" t="s">
        <v>1060</v>
      </c>
      <c r="B48" s="340">
        <f>B45</f>
        <v>2070130.1588142994</v>
      </c>
      <c r="C48" s="340">
        <f t="shared" ref="C48:H48" si="11">B48+C45-C47</f>
        <v>3859763.6074903803</v>
      </c>
      <c r="D48" s="340">
        <f t="shared" si="11"/>
        <v>6220820.5141336676</v>
      </c>
      <c r="E48" s="340">
        <f t="shared" si="11"/>
        <v>9133011.3273805305</v>
      </c>
      <c r="F48" s="340">
        <f t="shared" si="11"/>
        <v>12569085.735801999</v>
      </c>
      <c r="G48" s="340">
        <f t="shared" si="11"/>
        <v>16550314.939932335</v>
      </c>
      <c r="H48" s="340">
        <f t="shared" si="11"/>
        <v>21061622.279174566</v>
      </c>
    </row>
    <row r="50" spans="1:9" ht="32.450000000000003" customHeight="1" x14ac:dyDescent="0.35">
      <c r="A50" s="585" t="s">
        <v>400</v>
      </c>
      <c r="B50" s="585"/>
      <c r="C50" s="585"/>
      <c r="D50" s="585"/>
      <c r="E50" s="585"/>
      <c r="F50" s="585"/>
      <c r="G50" s="585"/>
      <c r="H50" s="585"/>
      <c r="I50" s="585"/>
    </row>
    <row r="52" spans="1:9" ht="14.45" x14ac:dyDescent="0.35">
      <c r="A52" s="485"/>
    </row>
  </sheetData>
  <mergeCells count="2">
    <mergeCell ref="A1:H1"/>
    <mergeCell ref="A50:I50"/>
  </mergeCells>
  <pageMargins left="0.76" right="0.39370078740157483" top="0.23622047244094491" bottom="0.19685039370078741" header="0.15748031496062992" footer="0.15748031496062992"/>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43" zoomScale="90" zoomScaleNormal="100" zoomScaleSheetLayoutView="90" workbookViewId="0">
      <selection activeCell="A4" sqref="A4:H43"/>
    </sheetView>
  </sheetViews>
  <sheetFormatPr defaultRowHeight="15" x14ac:dyDescent="0.25"/>
  <cols>
    <col min="1" max="1" width="42.28515625" style="230" customWidth="1"/>
    <col min="2" max="7" width="11.28515625" style="230" bestFit="1" customWidth="1"/>
    <col min="8" max="8" width="11.85546875" style="230" customWidth="1"/>
    <col min="9" max="9" width="9.140625" style="230"/>
    <col min="10" max="10" width="32.85546875" style="230" bestFit="1" customWidth="1"/>
    <col min="11" max="16" width="8.7109375" style="230" bestFit="1"/>
    <col min="17" max="17" width="10.140625" style="230" bestFit="1" customWidth="1"/>
    <col min="18" max="256" width="9.140625" style="230"/>
    <col min="257" max="257" width="37.28515625" style="230" customWidth="1"/>
    <col min="258" max="258" width="18.42578125" style="230" bestFit="1" customWidth="1"/>
    <col min="259" max="262" width="12.42578125" style="230" bestFit="1" customWidth="1"/>
    <col min="263" max="263" width="11.7109375" style="230" bestFit="1" customWidth="1"/>
    <col min="264" max="512" width="9.140625" style="230"/>
    <col min="513" max="513" width="37.28515625" style="230" customWidth="1"/>
    <col min="514" max="514" width="18.42578125" style="230" bestFit="1" customWidth="1"/>
    <col min="515" max="518" width="12.42578125" style="230" bestFit="1" customWidth="1"/>
    <col min="519" max="519" width="11.7109375" style="230" bestFit="1" customWidth="1"/>
    <col min="520" max="768" width="9.140625" style="230"/>
    <col min="769" max="769" width="37.28515625" style="230" customWidth="1"/>
    <col min="770" max="770" width="18.42578125" style="230" bestFit="1" customWidth="1"/>
    <col min="771" max="774" width="12.42578125" style="230" bestFit="1" customWidth="1"/>
    <col min="775" max="775" width="11.7109375" style="230" bestFit="1" customWidth="1"/>
    <col min="776" max="1024" width="9.140625" style="230"/>
    <col min="1025" max="1025" width="37.28515625" style="230" customWidth="1"/>
    <col min="1026" max="1026" width="18.42578125" style="230" bestFit="1" customWidth="1"/>
    <col min="1027" max="1030" width="12.42578125" style="230" bestFit="1" customWidth="1"/>
    <col min="1031" max="1031" width="11.7109375" style="230" bestFit="1" customWidth="1"/>
    <col min="1032" max="1280" width="9.140625" style="230"/>
    <col min="1281" max="1281" width="37.28515625" style="230" customWidth="1"/>
    <col min="1282" max="1282" width="18.42578125" style="230" bestFit="1" customWidth="1"/>
    <col min="1283" max="1286" width="12.42578125" style="230" bestFit="1" customWidth="1"/>
    <col min="1287" max="1287" width="11.7109375" style="230" bestFit="1" customWidth="1"/>
    <col min="1288" max="1536" width="9.140625" style="230"/>
    <col min="1537" max="1537" width="37.28515625" style="230" customWidth="1"/>
    <col min="1538" max="1538" width="18.42578125" style="230" bestFit="1" customWidth="1"/>
    <col min="1539" max="1542" width="12.42578125" style="230" bestFit="1" customWidth="1"/>
    <col min="1543" max="1543" width="11.7109375" style="230" bestFit="1" customWidth="1"/>
    <col min="1544" max="1792" width="9.140625" style="230"/>
    <col min="1793" max="1793" width="37.28515625" style="230" customWidth="1"/>
    <col min="1794" max="1794" width="18.42578125" style="230" bestFit="1" customWidth="1"/>
    <col min="1795" max="1798" width="12.42578125" style="230" bestFit="1" customWidth="1"/>
    <col min="1799" max="1799" width="11.7109375" style="230" bestFit="1" customWidth="1"/>
    <col min="1800" max="2048" width="9.140625" style="230"/>
    <col min="2049" max="2049" width="37.28515625" style="230" customWidth="1"/>
    <col min="2050" max="2050" width="18.42578125" style="230" bestFit="1" customWidth="1"/>
    <col min="2051" max="2054" width="12.42578125" style="230" bestFit="1" customWidth="1"/>
    <col min="2055" max="2055" width="11.7109375" style="230" bestFit="1" customWidth="1"/>
    <col min="2056" max="2304" width="9.140625" style="230"/>
    <col min="2305" max="2305" width="37.28515625" style="230" customWidth="1"/>
    <col min="2306" max="2306" width="18.42578125" style="230" bestFit="1" customWidth="1"/>
    <col min="2307" max="2310" width="12.42578125" style="230" bestFit="1" customWidth="1"/>
    <col min="2311" max="2311" width="11.7109375" style="230" bestFit="1" customWidth="1"/>
    <col min="2312" max="2560" width="9.140625" style="230"/>
    <col min="2561" max="2561" width="37.28515625" style="230" customWidth="1"/>
    <col min="2562" max="2562" width="18.42578125" style="230" bestFit="1" customWidth="1"/>
    <col min="2563" max="2566" width="12.42578125" style="230" bestFit="1" customWidth="1"/>
    <col min="2567" max="2567" width="11.7109375" style="230" bestFit="1" customWidth="1"/>
    <col min="2568" max="2816" width="9.140625" style="230"/>
    <col min="2817" max="2817" width="37.28515625" style="230" customWidth="1"/>
    <col min="2818" max="2818" width="18.42578125" style="230" bestFit="1" customWidth="1"/>
    <col min="2819" max="2822" width="12.42578125" style="230" bestFit="1" customWidth="1"/>
    <col min="2823" max="2823" width="11.7109375" style="230" bestFit="1" customWidth="1"/>
    <col min="2824" max="3072" width="9.140625" style="230"/>
    <col min="3073" max="3073" width="37.28515625" style="230" customWidth="1"/>
    <col min="3074" max="3074" width="18.42578125" style="230" bestFit="1" customWidth="1"/>
    <col min="3075" max="3078" width="12.42578125" style="230" bestFit="1" customWidth="1"/>
    <col min="3079" max="3079" width="11.7109375" style="230" bestFit="1" customWidth="1"/>
    <col min="3080" max="3328" width="9.140625" style="230"/>
    <col min="3329" max="3329" width="37.28515625" style="230" customWidth="1"/>
    <col min="3330" max="3330" width="18.42578125" style="230" bestFit="1" customWidth="1"/>
    <col min="3331" max="3334" width="12.42578125" style="230" bestFit="1" customWidth="1"/>
    <col min="3335" max="3335" width="11.7109375" style="230" bestFit="1" customWidth="1"/>
    <col min="3336" max="3584" width="9.140625" style="230"/>
    <col min="3585" max="3585" width="37.28515625" style="230" customWidth="1"/>
    <col min="3586" max="3586" width="18.42578125" style="230" bestFit="1" customWidth="1"/>
    <col min="3587" max="3590" width="12.42578125" style="230" bestFit="1" customWidth="1"/>
    <col min="3591" max="3591" width="11.7109375" style="230" bestFit="1" customWidth="1"/>
    <col min="3592" max="3840" width="9.140625" style="230"/>
    <col min="3841" max="3841" width="37.28515625" style="230" customWidth="1"/>
    <col min="3842" max="3842" width="18.42578125" style="230" bestFit="1" customWidth="1"/>
    <col min="3843" max="3846" width="12.42578125" style="230" bestFit="1" customWidth="1"/>
    <col min="3847" max="3847" width="11.7109375" style="230" bestFit="1" customWidth="1"/>
    <col min="3848" max="4096" width="9.140625" style="230"/>
    <col min="4097" max="4097" width="37.28515625" style="230" customWidth="1"/>
    <col min="4098" max="4098" width="18.42578125" style="230" bestFit="1" customWidth="1"/>
    <col min="4099" max="4102" width="12.42578125" style="230" bestFit="1" customWidth="1"/>
    <col min="4103" max="4103" width="11.7109375" style="230" bestFit="1" customWidth="1"/>
    <col min="4104" max="4352" width="9.140625" style="230"/>
    <col min="4353" max="4353" width="37.28515625" style="230" customWidth="1"/>
    <col min="4354" max="4354" width="18.42578125" style="230" bestFit="1" customWidth="1"/>
    <col min="4355" max="4358" width="12.42578125" style="230" bestFit="1" customWidth="1"/>
    <col min="4359" max="4359" width="11.7109375" style="230" bestFit="1" customWidth="1"/>
    <col min="4360" max="4608" width="9.140625" style="230"/>
    <col min="4609" max="4609" width="37.28515625" style="230" customWidth="1"/>
    <col min="4610" max="4610" width="18.42578125" style="230" bestFit="1" customWidth="1"/>
    <col min="4611" max="4614" width="12.42578125" style="230" bestFit="1" customWidth="1"/>
    <col min="4615" max="4615" width="11.7109375" style="230" bestFit="1" customWidth="1"/>
    <col min="4616" max="4864" width="9.140625" style="230"/>
    <col min="4865" max="4865" width="37.28515625" style="230" customWidth="1"/>
    <col min="4866" max="4866" width="18.42578125" style="230" bestFit="1" customWidth="1"/>
    <col min="4867" max="4870" width="12.42578125" style="230" bestFit="1" customWidth="1"/>
    <col min="4871" max="4871" width="11.7109375" style="230" bestFit="1" customWidth="1"/>
    <col min="4872" max="5120" width="9.140625" style="230"/>
    <col min="5121" max="5121" width="37.28515625" style="230" customWidth="1"/>
    <col min="5122" max="5122" width="18.42578125" style="230" bestFit="1" customWidth="1"/>
    <col min="5123" max="5126" width="12.42578125" style="230" bestFit="1" customWidth="1"/>
    <col min="5127" max="5127" width="11.7109375" style="230" bestFit="1" customWidth="1"/>
    <col min="5128" max="5376" width="9.140625" style="230"/>
    <col min="5377" max="5377" width="37.28515625" style="230" customWidth="1"/>
    <col min="5378" max="5378" width="18.42578125" style="230" bestFit="1" customWidth="1"/>
    <col min="5379" max="5382" width="12.42578125" style="230" bestFit="1" customWidth="1"/>
    <col min="5383" max="5383" width="11.7109375" style="230" bestFit="1" customWidth="1"/>
    <col min="5384" max="5632" width="9.140625" style="230"/>
    <col min="5633" max="5633" width="37.28515625" style="230" customWidth="1"/>
    <col min="5634" max="5634" width="18.42578125" style="230" bestFit="1" customWidth="1"/>
    <col min="5635" max="5638" width="12.42578125" style="230" bestFit="1" customWidth="1"/>
    <col min="5639" max="5639" width="11.7109375" style="230" bestFit="1" customWidth="1"/>
    <col min="5640" max="5888" width="9.140625" style="230"/>
    <col min="5889" max="5889" width="37.28515625" style="230" customWidth="1"/>
    <col min="5890" max="5890" width="18.42578125" style="230" bestFit="1" customWidth="1"/>
    <col min="5891" max="5894" width="12.42578125" style="230" bestFit="1" customWidth="1"/>
    <col min="5895" max="5895" width="11.7109375" style="230" bestFit="1" customWidth="1"/>
    <col min="5896" max="6144" width="9.140625" style="230"/>
    <col min="6145" max="6145" width="37.28515625" style="230" customWidth="1"/>
    <col min="6146" max="6146" width="18.42578125" style="230" bestFit="1" customWidth="1"/>
    <col min="6147" max="6150" width="12.42578125" style="230" bestFit="1" customWidth="1"/>
    <col min="6151" max="6151" width="11.7109375" style="230" bestFit="1" customWidth="1"/>
    <col min="6152" max="6400" width="9.140625" style="230"/>
    <col min="6401" max="6401" width="37.28515625" style="230" customWidth="1"/>
    <col min="6402" max="6402" width="18.42578125" style="230" bestFit="1" customWidth="1"/>
    <col min="6403" max="6406" width="12.42578125" style="230" bestFit="1" customWidth="1"/>
    <col min="6407" max="6407" width="11.7109375" style="230" bestFit="1" customWidth="1"/>
    <col min="6408" max="6656" width="9.140625" style="230"/>
    <col min="6657" max="6657" width="37.28515625" style="230" customWidth="1"/>
    <col min="6658" max="6658" width="18.42578125" style="230" bestFit="1" customWidth="1"/>
    <col min="6659" max="6662" width="12.42578125" style="230" bestFit="1" customWidth="1"/>
    <col min="6663" max="6663" width="11.7109375" style="230" bestFit="1" customWidth="1"/>
    <col min="6664" max="6912" width="9.140625" style="230"/>
    <col min="6913" max="6913" width="37.28515625" style="230" customWidth="1"/>
    <col min="6914" max="6914" width="18.42578125" style="230" bestFit="1" customWidth="1"/>
    <col min="6915" max="6918" width="12.42578125" style="230" bestFit="1" customWidth="1"/>
    <col min="6919" max="6919" width="11.7109375" style="230" bestFit="1" customWidth="1"/>
    <col min="6920" max="7168" width="9.140625" style="230"/>
    <col min="7169" max="7169" width="37.28515625" style="230" customWidth="1"/>
    <col min="7170" max="7170" width="18.42578125" style="230" bestFit="1" customWidth="1"/>
    <col min="7171" max="7174" width="12.42578125" style="230" bestFit="1" customWidth="1"/>
    <col min="7175" max="7175" width="11.7109375" style="230" bestFit="1" customWidth="1"/>
    <col min="7176" max="7424" width="9.140625" style="230"/>
    <col min="7425" max="7425" width="37.28515625" style="230" customWidth="1"/>
    <col min="7426" max="7426" width="18.42578125" style="230" bestFit="1" customWidth="1"/>
    <col min="7427" max="7430" width="12.42578125" style="230" bestFit="1" customWidth="1"/>
    <col min="7431" max="7431" width="11.7109375" style="230" bestFit="1" customWidth="1"/>
    <col min="7432" max="7680" width="9.140625" style="230"/>
    <col min="7681" max="7681" width="37.28515625" style="230" customWidth="1"/>
    <col min="7682" max="7682" width="18.42578125" style="230" bestFit="1" customWidth="1"/>
    <col min="7683" max="7686" width="12.42578125" style="230" bestFit="1" customWidth="1"/>
    <col min="7687" max="7687" width="11.7109375" style="230" bestFit="1" customWidth="1"/>
    <col min="7688" max="7936" width="9.140625" style="230"/>
    <col min="7937" max="7937" width="37.28515625" style="230" customWidth="1"/>
    <col min="7938" max="7938" width="18.42578125" style="230" bestFit="1" customWidth="1"/>
    <col min="7939" max="7942" width="12.42578125" style="230" bestFit="1" customWidth="1"/>
    <col min="7943" max="7943" width="11.7109375" style="230" bestFit="1" customWidth="1"/>
    <col min="7944" max="8192" width="9.140625" style="230"/>
    <col min="8193" max="8193" width="37.28515625" style="230" customWidth="1"/>
    <col min="8194" max="8194" width="18.42578125" style="230" bestFit="1" customWidth="1"/>
    <col min="8195" max="8198" width="12.42578125" style="230" bestFit="1" customWidth="1"/>
    <col min="8199" max="8199" width="11.7109375" style="230" bestFit="1" customWidth="1"/>
    <col min="8200" max="8448" width="9.140625" style="230"/>
    <col min="8449" max="8449" width="37.28515625" style="230" customWidth="1"/>
    <col min="8450" max="8450" width="18.42578125" style="230" bestFit="1" customWidth="1"/>
    <col min="8451" max="8454" width="12.42578125" style="230" bestFit="1" customWidth="1"/>
    <col min="8455" max="8455" width="11.7109375" style="230" bestFit="1" customWidth="1"/>
    <col min="8456" max="8704" width="9.140625" style="230"/>
    <col min="8705" max="8705" width="37.28515625" style="230" customWidth="1"/>
    <col min="8706" max="8706" width="18.42578125" style="230" bestFit="1" customWidth="1"/>
    <col min="8707" max="8710" width="12.42578125" style="230" bestFit="1" customWidth="1"/>
    <col min="8711" max="8711" width="11.7109375" style="230" bestFit="1" customWidth="1"/>
    <col min="8712" max="8960" width="9.140625" style="230"/>
    <col min="8961" max="8961" width="37.28515625" style="230" customWidth="1"/>
    <col min="8962" max="8962" width="18.42578125" style="230" bestFit="1" customWidth="1"/>
    <col min="8963" max="8966" width="12.42578125" style="230" bestFit="1" customWidth="1"/>
    <col min="8967" max="8967" width="11.7109375" style="230" bestFit="1" customWidth="1"/>
    <col min="8968" max="9216" width="9.140625" style="230"/>
    <col min="9217" max="9217" width="37.28515625" style="230" customWidth="1"/>
    <col min="9218" max="9218" width="18.42578125" style="230" bestFit="1" customWidth="1"/>
    <col min="9219" max="9222" width="12.42578125" style="230" bestFit="1" customWidth="1"/>
    <col min="9223" max="9223" width="11.7109375" style="230" bestFit="1" customWidth="1"/>
    <col min="9224" max="9472" width="9.140625" style="230"/>
    <col min="9473" max="9473" width="37.28515625" style="230" customWidth="1"/>
    <col min="9474" max="9474" width="18.42578125" style="230" bestFit="1" customWidth="1"/>
    <col min="9475" max="9478" width="12.42578125" style="230" bestFit="1" customWidth="1"/>
    <col min="9479" max="9479" width="11.7109375" style="230" bestFit="1" customWidth="1"/>
    <col min="9480" max="9728" width="9.140625" style="230"/>
    <col min="9729" max="9729" width="37.28515625" style="230" customWidth="1"/>
    <col min="9730" max="9730" width="18.42578125" style="230" bestFit="1" customWidth="1"/>
    <col min="9731" max="9734" width="12.42578125" style="230" bestFit="1" customWidth="1"/>
    <col min="9735" max="9735" width="11.7109375" style="230" bestFit="1" customWidth="1"/>
    <col min="9736" max="9984" width="9.140625" style="230"/>
    <col min="9985" max="9985" width="37.28515625" style="230" customWidth="1"/>
    <col min="9986" max="9986" width="18.42578125" style="230" bestFit="1" customWidth="1"/>
    <col min="9987" max="9990" width="12.42578125" style="230" bestFit="1" customWidth="1"/>
    <col min="9991" max="9991" width="11.7109375" style="230" bestFit="1" customWidth="1"/>
    <col min="9992" max="10240" width="9.140625" style="230"/>
    <col min="10241" max="10241" width="37.28515625" style="230" customWidth="1"/>
    <col min="10242" max="10242" width="18.42578125" style="230" bestFit="1" customWidth="1"/>
    <col min="10243" max="10246" width="12.42578125" style="230" bestFit="1" customWidth="1"/>
    <col min="10247" max="10247" width="11.7109375" style="230" bestFit="1" customWidth="1"/>
    <col min="10248" max="10496" width="9.140625" style="230"/>
    <col min="10497" max="10497" width="37.28515625" style="230" customWidth="1"/>
    <col min="10498" max="10498" width="18.42578125" style="230" bestFit="1" customWidth="1"/>
    <col min="10499" max="10502" width="12.42578125" style="230" bestFit="1" customWidth="1"/>
    <col min="10503" max="10503" width="11.7109375" style="230" bestFit="1" customWidth="1"/>
    <col min="10504" max="10752" width="9.140625" style="230"/>
    <col min="10753" max="10753" width="37.28515625" style="230" customWidth="1"/>
    <col min="10754" max="10754" width="18.42578125" style="230" bestFit="1" customWidth="1"/>
    <col min="10755" max="10758" width="12.42578125" style="230" bestFit="1" customWidth="1"/>
    <col min="10759" max="10759" width="11.7109375" style="230" bestFit="1" customWidth="1"/>
    <col min="10760" max="11008" width="9.140625" style="230"/>
    <col min="11009" max="11009" width="37.28515625" style="230" customWidth="1"/>
    <col min="11010" max="11010" width="18.42578125" style="230" bestFit="1" customWidth="1"/>
    <col min="11011" max="11014" width="12.42578125" style="230" bestFit="1" customWidth="1"/>
    <col min="11015" max="11015" width="11.7109375" style="230" bestFit="1" customWidth="1"/>
    <col min="11016" max="11264" width="9.140625" style="230"/>
    <col min="11265" max="11265" width="37.28515625" style="230" customWidth="1"/>
    <col min="11266" max="11266" width="18.42578125" style="230" bestFit="1" customWidth="1"/>
    <col min="11267" max="11270" width="12.42578125" style="230" bestFit="1" customWidth="1"/>
    <col min="11271" max="11271" width="11.7109375" style="230" bestFit="1" customWidth="1"/>
    <col min="11272" max="11520" width="9.140625" style="230"/>
    <col min="11521" max="11521" width="37.28515625" style="230" customWidth="1"/>
    <col min="11522" max="11522" width="18.42578125" style="230" bestFit="1" customWidth="1"/>
    <col min="11523" max="11526" width="12.42578125" style="230" bestFit="1" customWidth="1"/>
    <col min="11527" max="11527" width="11.7109375" style="230" bestFit="1" customWidth="1"/>
    <col min="11528" max="11776" width="9.140625" style="230"/>
    <col min="11777" max="11777" width="37.28515625" style="230" customWidth="1"/>
    <col min="11778" max="11778" width="18.42578125" style="230" bestFit="1" customWidth="1"/>
    <col min="11779" max="11782" width="12.42578125" style="230" bestFit="1" customWidth="1"/>
    <col min="11783" max="11783" width="11.7109375" style="230" bestFit="1" customWidth="1"/>
    <col min="11784" max="12032" width="9.140625" style="230"/>
    <col min="12033" max="12033" width="37.28515625" style="230" customWidth="1"/>
    <col min="12034" max="12034" width="18.42578125" style="230" bestFit="1" customWidth="1"/>
    <col min="12035" max="12038" width="12.42578125" style="230" bestFit="1" customWidth="1"/>
    <col min="12039" max="12039" width="11.7109375" style="230" bestFit="1" customWidth="1"/>
    <col min="12040" max="12288" width="9.140625" style="230"/>
    <col min="12289" max="12289" width="37.28515625" style="230" customWidth="1"/>
    <col min="12290" max="12290" width="18.42578125" style="230" bestFit="1" customWidth="1"/>
    <col min="12291" max="12294" width="12.42578125" style="230" bestFit="1" customWidth="1"/>
    <col min="12295" max="12295" width="11.7109375" style="230" bestFit="1" customWidth="1"/>
    <col min="12296" max="12544" width="9.140625" style="230"/>
    <col min="12545" max="12545" width="37.28515625" style="230" customWidth="1"/>
    <col min="12546" max="12546" width="18.42578125" style="230" bestFit="1" customWidth="1"/>
    <col min="12547" max="12550" width="12.42578125" style="230" bestFit="1" customWidth="1"/>
    <col min="12551" max="12551" width="11.7109375" style="230" bestFit="1" customWidth="1"/>
    <col min="12552" max="12800" width="9.140625" style="230"/>
    <col min="12801" max="12801" width="37.28515625" style="230" customWidth="1"/>
    <col min="12802" max="12802" width="18.42578125" style="230" bestFit="1" customWidth="1"/>
    <col min="12803" max="12806" width="12.42578125" style="230" bestFit="1" customWidth="1"/>
    <col min="12807" max="12807" width="11.7109375" style="230" bestFit="1" customWidth="1"/>
    <col min="12808" max="13056" width="9.140625" style="230"/>
    <col min="13057" max="13057" width="37.28515625" style="230" customWidth="1"/>
    <col min="13058" max="13058" width="18.42578125" style="230" bestFit="1" customWidth="1"/>
    <col min="13059" max="13062" width="12.42578125" style="230" bestFit="1" customWidth="1"/>
    <col min="13063" max="13063" width="11.7109375" style="230" bestFit="1" customWidth="1"/>
    <col min="13064" max="13312" width="9.140625" style="230"/>
    <col min="13313" max="13313" width="37.28515625" style="230" customWidth="1"/>
    <col min="13314" max="13314" width="18.42578125" style="230" bestFit="1" customWidth="1"/>
    <col min="13315" max="13318" width="12.42578125" style="230" bestFit="1" customWidth="1"/>
    <col min="13319" max="13319" width="11.7109375" style="230" bestFit="1" customWidth="1"/>
    <col min="13320" max="13568" width="9.140625" style="230"/>
    <col min="13569" max="13569" width="37.28515625" style="230" customWidth="1"/>
    <col min="13570" max="13570" width="18.42578125" style="230" bestFit="1" customWidth="1"/>
    <col min="13571" max="13574" width="12.42578125" style="230" bestFit="1" customWidth="1"/>
    <col min="13575" max="13575" width="11.7109375" style="230" bestFit="1" customWidth="1"/>
    <col min="13576" max="13824" width="9.140625" style="230"/>
    <col min="13825" max="13825" width="37.28515625" style="230" customWidth="1"/>
    <col min="13826" max="13826" width="18.42578125" style="230" bestFit="1" customWidth="1"/>
    <col min="13827" max="13830" width="12.42578125" style="230" bestFit="1" customWidth="1"/>
    <col min="13831" max="13831" width="11.7109375" style="230" bestFit="1" customWidth="1"/>
    <col min="13832" max="14080" width="9.140625" style="230"/>
    <col min="14081" max="14081" width="37.28515625" style="230" customWidth="1"/>
    <col min="14082" max="14082" width="18.42578125" style="230" bestFit="1" customWidth="1"/>
    <col min="14083" max="14086" width="12.42578125" style="230" bestFit="1" customWidth="1"/>
    <col min="14087" max="14087" width="11.7109375" style="230" bestFit="1" customWidth="1"/>
    <col min="14088" max="14336" width="9.140625" style="230"/>
    <col min="14337" max="14337" width="37.28515625" style="230" customWidth="1"/>
    <col min="14338" max="14338" width="18.42578125" style="230" bestFit="1" customWidth="1"/>
    <col min="14339" max="14342" width="12.42578125" style="230" bestFit="1" customWidth="1"/>
    <col min="14343" max="14343" width="11.7109375" style="230" bestFit="1" customWidth="1"/>
    <col min="14344" max="14592" width="9.140625" style="230"/>
    <col min="14593" max="14593" width="37.28515625" style="230" customWidth="1"/>
    <col min="14594" max="14594" width="18.42578125" style="230" bestFit="1" customWidth="1"/>
    <col min="14595" max="14598" width="12.42578125" style="230" bestFit="1" customWidth="1"/>
    <col min="14599" max="14599" width="11.7109375" style="230" bestFit="1" customWidth="1"/>
    <col min="14600" max="14848" width="9.140625" style="230"/>
    <col min="14849" max="14849" width="37.28515625" style="230" customWidth="1"/>
    <col min="14850" max="14850" width="18.42578125" style="230" bestFit="1" customWidth="1"/>
    <col min="14851" max="14854" width="12.42578125" style="230" bestFit="1" customWidth="1"/>
    <col min="14855" max="14855" width="11.7109375" style="230" bestFit="1" customWidth="1"/>
    <col min="14856" max="15104" width="9.140625" style="230"/>
    <col min="15105" max="15105" width="37.28515625" style="230" customWidth="1"/>
    <col min="15106" max="15106" width="18.42578125" style="230" bestFit="1" customWidth="1"/>
    <col min="15107" max="15110" width="12.42578125" style="230" bestFit="1" customWidth="1"/>
    <col min="15111" max="15111" width="11.7109375" style="230" bestFit="1" customWidth="1"/>
    <col min="15112" max="15360" width="9.140625" style="230"/>
    <col min="15361" max="15361" width="37.28515625" style="230" customWidth="1"/>
    <col min="15362" max="15362" width="18.42578125" style="230" bestFit="1" customWidth="1"/>
    <col min="15363" max="15366" width="12.42578125" style="230" bestFit="1" customWidth="1"/>
    <col min="15367" max="15367" width="11.7109375" style="230" bestFit="1" customWidth="1"/>
    <col min="15368" max="15616" width="9.140625" style="230"/>
    <col min="15617" max="15617" width="37.28515625" style="230" customWidth="1"/>
    <col min="15618" max="15618" width="18.42578125" style="230" bestFit="1" customWidth="1"/>
    <col min="15619" max="15622" width="12.42578125" style="230" bestFit="1" customWidth="1"/>
    <col min="15623" max="15623" width="11.7109375" style="230" bestFit="1" customWidth="1"/>
    <col min="15624" max="15872" width="9.140625" style="230"/>
    <col min="15873" max="15873" width="37.28515625" style="230" customWidth="1"/>
    <col min="15874" max="15874" width="18.42578125" style="230" bestFit="1" customWidth="1"/>
    <col min="15875" max="15878" width="12.42578125" style="230" bestFit="1" customWidth="1"/>
    <col min="15879" max="15879" width="11.7109375" style="230" bestFit="1" customWidth="1"/>
    <col min="15880" max="16128" width="9.140625" style="230"/>
    <col min="16129" max="16129" width="37.28515625" style="230" customWidth="1"/>
    <col min="16130" max="16130" width="18.42578125" style="230" bestFit="1" customWidth="1"/>
    <col min="16131" max="16134" width="12.42578125" style="230" bestFit="1" customWidth="1"/>
    <col min="16135" max="16135" width="11.7109375" style="230" bestFit="1" customWidth="1"/>
    <col min="16136" max="16384" width="9.140625" style="230"/>
  </cols>
  <sheetData>
    <row r="1" spans="1:18" ht="14.45" x14ac:dyDescent="0.35">
      <c r="A1" s="570"/>
      <c r="B1" s="570"/>
      <c r="C1" s="570"/>
      <c r="D1" s="570"/>
      <c r="E1" s="570"/>
      <c r="F1" s="570"/>
    </row>
    <row r="2" spans="1:18" ht="14.45" x14ac:dyDescent="0.35">
      <c r="A2" s="586" t="s">
        <v>710</v>
      </c>
      <c r="B2" s="563"/>
      <c r="C2" s="563"/>
      <c r="D2" s="563"/>
      <c r="E2" s="563"/>
      <c r="F2" s="563"/>
      <c r="G2" s="563"/>
      <c r="H2" s="563"/>
      <c r="I2" s="372"/>
    </row>
    <row r="3" spans="1:18" ht="14.45" x14ac:dyDescent="0.35">
      <c r="A3" s="231"/>
      <c r="B3" s="232"/>
      <c r="C3" s="232"/>
      <c r="D3" s="232"/>
      <c r="E3" s="232"/>
      <c r="F3" s="232"/>
    </row>
    <row r="4" spans="1:18" ht="14.45" x14ac:dyDescent="0.35">
      <c r="A4" s="233" t="s">
        <v>0</v>
      </c>
      <c r="B4" s="484" t="s">
        <v>2</v>
      </c>
      <c r="C4" s="484" t="s">
        <v>3</v>
      </c>
      <c r="D4" s="484" t="s">
        <v>4</v>
      </c>
      <c r="E4" s="484" t="s">
        <v>5</v>
      </c>
      <c r="F4" s="484" t="s">
        <v>6</v>
      </c>
      <c r="G4" s="364" t="s">
        <v>165</v>
      </c>
      <c r="H4" s="364" t="s">
        <v>164</v>
      </c>
    </row>
    <row r="5" spans="1:18" s="237" customFormat="1" ht="14.45" x14ac:dyDescent="0.35">
      <c r="A5" s="234"/>
      <c r="B5" s="235"/>
      <c r="C5" s="236"/>
      <c r="D5" s="236"/>
      <c r="E5" s="236"/>
      <c r="F5" s="236"/>
      <c r="G5" s="236"/>
      <c r="H5" s="236"/>
    </row>
    <row r="6" spans="1:18" ht="14.45" x14ac:dyDescent="0.35">
      <c r="A6" s="238" t="s">
        <v>48</v>
      </c>
      <c r="B6" s="239"/>
      <c r="C6" s="239"/>
      <c r="D6" s="239"/>
      <c r="E6" s="239"/>
      <c r="F6" s="239"/>
      <c r="G6" s="239"/>
      <c r="H6" s="239"/>
    </row>
    <row r="7" spans="1:18" ht="14.45" x14ac:dyDescent="0.35">
      <c r="A7" s="240" t="s">
        <v>49</v>
      </c>
      <c r="B7" s="241"/>
      <c r="C7" s="241"/>
      <c r="D7" s="241"/>
      <c r="E7" s="241"/>
      <c r="F7" s="241"/>
      <c r="G7" s="241"/>
      <c r="H7" s="241"/>
    </row>
    <row r="8" spans="1:18" ht="14.45" x14ac:dyDescent="0.35">
      <c r="A8" s="240" t="s">
        <v>246</v>
      </c>
      <c r="B8" s="242">
        <f>CF!C36</f>
        <v>2384967.202073805</v>
      </c>
      <c r="C8" s="242">
        <f>CF!D36</f>
        <v>3923556.6990535259</v>
      </c>
      <c r="D8" s="242">
        <f>CF!E36</f>
        <v>5544328.4836806357</v>
      </c>
      <c r="E8" s="242">
        <f>CF!F36</f>
        <v>7491131.3298116028</v>
      </c>
      <c r="F8" s="242">
        <f>CF!G36</f>
        <v>11961829.282633074</v>
      </c>
      <c r="G8" s="242">
        <f>CF!H36</f>
        <v>16877682.031163409</v>
      </c>
      <c r="H8" s="242">
        <f>CF!I36</f>
        <v>22323612.914805651</v>
      </c>
      <c r="K8" s="243"/>
      <c r="L8" s="243"/>
      <c r="M8" s="243"/>
      <c r="N8" s="243"/>
      <c r="O8" s="243"/>
      <c r="P8" s="243"/>
      <c r="Q8" s="243"/>
      <c r="R8" s="243"/>
    </row>
    <row r="9" spans="1:18" ht="14.45" x14ac:dyDescent="0.35">
      <c r="A9" s="245" t="s">
        <v>247</v>
      </c>
      <c r="B9" s="244">
        <f>'Stock WC'!E41</f>
        <v>1457378.1083703693</v>
      </c>
      <c r="C9" s="244">
        <f>'Stock WC'!F41</f>
        <v>1641904.9184567956</v>
      </c>
      <c r="D9" s="244">
        <f>'Stock WC'!G41</f>
        <v>1846362.5272577219</v>
      </c>
      <c r="E9" s="244">
        <f>'Stock WC'!H41</f>
        <v>2067161.1346426003</v>
      </c>
      <c r="F9" s="244">
        <f>'Stock WC'!I41</f>
        <v>2305423.6964478218</v>
      </c>
      <c r="G9" s="244">
        <f>'Stock WC'!J41</f>
        <v>2561316.5930233286</v>
      </c>
      <c r="H9" s="244">
        <f>'Stock WC'!K41</f>
        <v>2837035.2200152669</v>
      </c>
      <c r="K9" s="243"/>
      <c r="L9" s="243"/>
      <c r="M9" s="243"/>
      <c r="N9" s="243"/>
      <c r="O9" s="243"/>
      <c r="P9" s="243"/>
      <c r="Q9" s="243"/>
      <c r="R9" s="243"/>
    </row>
    <row r="10" spans="1:18" ht="14.45" x14ac:dyDescent="0.35">
      <c r="A10" s="245" t="s">
        <v>582</v>
      </c>
      <c r="B10" s="244">
        <f>'Stock WC'!E42</f>
        <v>298409.96642485255</v>
      </c>
      <c r="C10" s="244">
        <f>'Stock WC'!F42</f>
        <v>338597.57586573402</v>
      </c>
      <c r="D10" s="244">
        <f>'Stock WC'!G42</f>
        <v>382145.93226557906</v>
      </c>
      <c r="E10" s="244">
        <f>'Stock WC'!H42</f>
        <v>429180.05200904142</v>
      </c>
      <c r="F10" s="244">
        <f>'Stock WC'!I42</f>
        <v>479940.51320275071</v>
      </c>
      <c r="G10" s="244">
        <f>'Stock WC'!J42</f>
        <v>534683.23735564062</v>
      </c>
      <c r="H10" s="244">
        <f>'Stock WC'!K42</f>
        <v>593680.42227391212</v>
      </c>
      <c r="K10" s="243"/>
      <c r="L10" s="243"/>
      <c r="M10" s="243"/>
      <c r="N10" s="243"/>
      <c r="O10" s="243"/>
      <c r="P10" s="243"/>
      <c r="Q10" s="243"/>
      <c r="R10" s="243"/>
    </row>
    <row r="11" spans="1:18" ht="14.45" x14ac:dyDescent="0.35">
      <c r="A11" s="240" t="s">
        <v>248</v>
      </c>
      <c r="B11" s="242">
        <f t="shared" ref="B11:H11" si="0">SUM(B8:B10)</f>
        <v>4140755.2768690269</v>
      </c>
      <c r="C11" s="242">
        <f t="shared" si="0"/>
        <v>5904059.1933760559</v>
      </c>
      <c r="D11" s="242">
        <f t="shared" si="0"/>
        <v>7772836.9432039363</v>
      </c>
      <c r="E11" s="242">
        <f t="shared" si="0"/>
        <v>9987472.5164632462</v>
      </c>
      <c r="F11" s="242">
        <f t="shared" si="0"/>
        <v>14747193.492283646</v>
      </c>
      <c r="G11" s="242">
        <f t="shared" si="0"/>
        <v>19973681.861542381</v>
      </c>
      <c r="H11" s="242">
        <f t="shared" si="0"/>
        <v>25754328.557094827</v>
      </c>
    </row>
    <row r="12" spans="1:18" ht="14.45" x14ac:dyDescent="0.35">
      <c r="A12" s="240"/>
      <c r="B12" s="244"/>
      <c r="C12" s="244"/>
      <c r="D12" s="244"/>
      <c r="E12" s="244"/>
      <c r="F12" s="244"/>
      <c r="G12" s="244"/>
      <c r="H12" s="244"/>
      <c r="J12" s="243"/>
      <c r="K12" s="243"/>
      <c r="L12" s="243"/>
      <c r="M12" s="243"/>
      <c r="N12" s="243"/>
      <c r="O12" s="243"/>
      <c r="P12" s="243"/>
      <c r="Q12" s="243"/>
    </row>
    <row r="13" spans="1:18" ht="14.45" x14ac:dyDescent="0.35">
      <c r="A13" s="245" t="s">
        <v>249</v>
      </c>
      <c r="B13" s="244">
        <f>Other!C61</f>
        <v>17267538</v>
      </c>
      <c r="C13" s="244">
        <f>Other!D61</f>
        <v>16332914.455599999</v>
      </c>
      <c r="D13" s="244">
        <f>Other!E61</f>
        <v>15398290.9112</v>
      </c>
      <c r="E13" s="244">
        <f>Other!F61</f>
        <v>14463667.366799999</v>
      </c>
      <c r="F13" s="244">
        <f>Other!G61</f>
        <v>13529043.8224</v>
      </c>
      <c r="G13" s="244">
        <f>Other!H61</f>
        <v>12594420.277999999</v>
      </c>
      <c r="H13" s="244">
        <f>Other!I61</f>
        <v>11659796.7336</v>
      </c>
    </row>
    <row r="14" spans="1:18" ht="14.45" x14ac:dyDescent="0.35">
      <c r="A14" s="245" t="s">
        <v>1325</v>
      </c>
      <c r="B14" s="244">
        <f>Other!C62</f>
        <v>934623.5443999999</v>
      </c>
      <c r="C14" s="244">
        <f>Other!D62</f>
        <v>934623.5443999999</v>
      </c>
      <c r="D14" s="244">
        <f>Other!E62</f>
        <v>934623.5443999999</v>
      </c>
      <c r="E14" s="244">
        <f>Other!F62</f>
        <v>934623.5443999999</v>
      </c>
      <c r="F14" s="244">
        <f>Other!G62</f>
        <v>934623.5443999999</v>
      </c>
      <c r="G14" s="244">
        <f>Other!H62</f>
        <v>934623.5443999999</v>
      </c>
      <c r="H14" s="244">
        <f>Other!I62</f>
        <v>934623.5443999999</v>
      </c>
      <c r="K14" s="243"/>
      <c r="L14" s="243"/>
      <c r="M14" s="243"/>
      <c r="N14" s="243"/>
      <c r="O14" s="243"/>
      <c r="P14" s="243"/>
      <c r="Q14" s="243"/>
    </row>
    <row r="15" spans="1:18" s="232" customFormat="1" ht="14.45" x14ac:dyDescent="0.35">
      <c r="A15" s="240" t="s">
        <v>195</v>
      </c>
      <c r="B15" s="242">
        <f t="shared" ref="B15:H15" si="1">B13-B14</f>
        <v>16332914.455600001</v>
      </c>
      <c r="C15" s="242">
        <f t="shared" si="1"/>
        <v>15398290.9112</v>
      </c>
      <c r="D15" s="242">
        <f t="shared" si="1"/>
        <v>14463667.366800001</v>
      </c>
      <c r="E15" s="242">
        <f t="shared" si="1"/>
        <v>13529043.8224</v>
      </c>
      <c r="F15" s="242">
        <f t="shared" si="1"/>
        <v>12594420.278000001</v>
      </c>
      <c r="G15" s="242">
        <f t="shared" si="1"/>
        <v>11659796.7336</v>
      </c>
      <c r="H15" s="242">
        <f t="shared" si="1"/>
        <v>10725173.189200001</v>
      </c>
    </row>
    <row r="16" spans="1:18" s="232" customFormat="1" ht="14.45" x14ac:dyDescent="0.35">
      <c r="A16" s="240"/>
      <c r="B16" s="242"/>
      <c r="C16" s="242"/>
      <c r="D16" s="242"/>
      <c r="E16" s="242"/>
      <c r="F16" s="242"/>
      <c r="G16" s="242"/>
      <c r="H16" s="242"/>
    </row>
    <row r="17" spans="1:8" s="232" customFormat="1" ht="14.45" x14ac:dyDescent="0.35">
      <c r="A17" s="246"/>
      <c r="B17" s="242"/>
      <c r="C17" s="242"/>
      <c r="D17" s="242"/>
      <c r="E17" s="242"/>
      <c r="F17" s="242"/>
      <c r="G17" s="242"/>
      <c r="H17" s="242"/>
    </row>
    <row r="18" spans="1:8" s="232" customFormat="1" ht="14.45" x14ac:dyDescent="0.35">
      <c r="A18" s="240" t="s">
        <v>495</v>
      </c>
      <c r="B18" s="242">
        <f>CF!C21-PL!B37</f>
        <v>400000</v>
      </c>
      <c r="C18" s="242">
        <f>B18-PL!C37</f>
        <v>300000</v>
      </c>
      <c r="D18" s="242">
        <f>C18-PL!D37</f>
        <v>200000</v>
      </c>
      <c r="E18" s="242">
        <f>D18-PL!E37</f>
        <v>100000</v>
      </c>
      <c r="F18" s="242">
        <f>E18-PL!F37</f>
        <v>0</v>
      </c>
      <c r="G18" s="242">
        <f>F18-PL!G37</f>
        <v>0</v>
      </c>
      <c r="H18" s="242">
        <f>G18-PL!H37</f>
        <v>0</v>
      </c>
    </row>
    <row r="19" spans="1:8" ht="14.45" x14ac:dyDescent="0.35">
      <c r="A19" s="245"/>
      <c r="B19" s="244"/>
      <c r="C19" s="244"/>
      <c r="D19" s="244"/>
      <c r="E19" s="244"/>
      <c r="F19" s="244"/>
      <c r="G19" s="244"/>
      <c r="H19" s="244"/>
    </row>
    <row r="20" spans="1:8" ht="14.45" x14ac:dyDescent="0.35">
      <c r="A20" s="246" t="s">
        <v>251</v>
      </c>
      <c r="B20" s="247">
        <f>B11+B15+B17+B18</f>
        <v>20873669.73246903</v>
      </c>
      <c r="C20" s="247">
        <f t="shared" ref="C20:H20" si="2">C11+C15+C17+C18</f>
        <v>21602350.104576055</v>
      </c>
      <c r="D20" s="247">
        <f t="shared" si="2"/>
        <v>22436504.310003936</v>
      </c>
      <c r="E20" s="247">
        <f t="shared" si="2"/>
        <v>23616516.338863246</v>
      </c>
      <c r="F20" s="247">
        <f t="shared" si="2"/>
        <v>27341613.770283647</v>
      </c>
      <c r="G20" s="247">
        <f t="shared" si="2"/>
        <v>31633478.595142379</v>
      </c>
      <c r="H20" s="247">
        <f t="shared" si="2"/>
        <v>36479501.746294826</v>
      </c>
    </row>
    <row r="21" spans="1:8" ht="14.45" x14ac:dyDescent="0.35">
      <c r="A21" s="234"/>
      <c r="B21" s="248"/>
      <c r="C21" s="248"/>
      <c r="D21" s="248"/>
      <c r="E21" s="248"/>
      <c r="F21" s="248"/>
      <c r="G21" s="248"/>
      <c r="H21" s="248"/>
    </row>
    <row r="22" spans="1:8" ht="14.45" x14ac:dyDescent="0.35">
      <c r="A22" s="238" t="s">
        <v>252</v>
      </c>
      <c r="B22" s="249"/>
      <c r="C22" s="249"/>
      <c r="D22" s="249"/>
      <c r="E22" s="249"/>
      <c r="F22" s="249"/>
      <c r="G22" s="249"/>
      <c r="H22" s="249"/>
    </row>
    <row r="23" spans="1:8" ht="14.45" x14ac:dyDescent="0.35">
      <c r="A23" s="240" t="s">
        <v>253</v>
      </c>
      <c r="B23" s="249"/>
      <c r="C23" s="249"/>
      <c r="D23" s="249"/>
      <c r="E23" s="249"/>
      <c r="F23" s="249"/>
      <c r="G23" s="249"/>
      <c r="H23" s="249"/>
    </row>
    <row r="24" spans="1:8" ht="14.45" x14ac:dyDescent="0.35">
      <c r="A24" s="245" t="s">
        <v>254</v>
      </c>
      <c r="B24" s="244">
        <f>'Stock WC'!E55-'Stock WC'!E56</f>
        <v>868421.47449321114</v>
      </c>
      <c r="C24" s="244">
        <f>'Stock WC'!F55-'Stock WC'!F56</f>
        <v>1298883.0481479727</v>
      </c>
      <c r="D24" s="244">
        <f>'Stock WC'!G55-'Stock WC'!G56</f>
        <v>1461665.8300597197</v>
      </c>
      <c r="E24" s="244">
        <f>'Stock WC'!H55-'Stock WC'!H56</f>
        <v>1637521.4438350915</v>
      </c>
      <c r="F24" s="244">
        <f>'Stock WC'!I55-'Stock WC'!I56</f>
        <v>1827350.6918966663</v>
      </c>
      <c r="G24" s="244">
        <f>'Stock WC'!J55-'Stock WC'!J56</f>
        <v>2031081.6186295352</v>
      </c>
      <c r="H24" s="244">
        <f>'Stock WC'!K55-'Stock WC'!K56</f>
        <v>2250656.1759188455</v>
      </c>
    </row>
    <row r="25" spans="1:8" ht="14.45" x14ac:dyDescent="0.35">
      <c r="A25" s="245" t="s">
        <v>255</v>
      </c>
      <c r="B25" s="248">
        <f>'Stock WC'!E54</f>
        <v>597892.77547094028</v>
      </c>
      <c r="C25" s="248">
        <f>'Stock WC'!F54</f>
        <v>681619.44617455674</v>
      </c>
      <c r="D25" s="248">
        <f>'Stock WC'!G54</f>
        <v>766842.62946358137</v>
      </c>
      <c r="E25" s="248">
        <f>'Stock WC'!H54</f>
        <v>858819.74281654996</v>
      </c>
      <c r="F25" s="248">
        <f>'Stock WC'!I54</f>
        <v>958013.5177539062</v>
      </c>
      <c r="G25" s="248">
        <f>'Stock WC'!J54</f>
        <v>1064918.211749434</v>
      </c>
      <c r="H25" s="248">
        <f>'Stock WC'!K54</f>
        <v>1180059.4663703337</v>
      </c>
    </row>
    <row r="26" spans="1:8" s="237" customFormat="1" ht="14.45" x14ac:dyDescent="0.35">
      <c r="A26" s="245" t="s">
        <v>256</v>
      </c>
      <c r="B26" s="242"/>
      <c r="C26" s="242"/>
      <c r="D26" s="242"/>
      <c r="E26" s="242"/>
      <c r="F26" s="242"/>
      <c r="G26" s="242"/>
      <c r="H26" s="242"/>
    </row>
    <row r="27" spans="1:8" s="237" customFormat="1" ht="14.45" x14ac:dyDescent="0.35">
      <c r="A27" s="240" t="s">
        <v>257</v>
      </c>
      <c r="B27" s="247">
        <f>SUM(B24:B26)</f>
        <v>1466314.2499641515</v>
      </c>
      <c r="C27" s="247">
        <f t="shared" ref="C27:H27" si="3">SUM(C24:C26)</f>
        <v>1980502.4943225295</v>
      </c>
      <c r="D27" s="247">
        <f t="shared" si="3"/>
        <v>2228508.4595233011</v>
      </c>
      <c r="E27" s="247">
        <f t="shared" si="3"/>
        <v>2496341.1866516415</v>
      </c>
      <c r="F27" s="247">
        <f t="shared" si="3"/>
        <v>2785364.2096505724</v>
      </c>
      <c r="G27" s="247">
        <f t="shared" si="3"/>
        <v>3095999.8303789692</v>
      </c>
      <c r="H27" s="247">
        <f t="shared" si="3"/>
        <v>3430715.6422891794</v>
      </c>
    </row>
    <row r="28" spans="1:8" s="237" customFormat="1" ht="14.45" x14ac:dyDescent="0.35">
      <c r="A28" s="240" t="s">
        <v>258</v>
      </c>
      <c r="B28" s="247">
        <f>TL!G21</f>
        <v>5350061.4988595098</v>
      </c>
      <c r="C28" s="247">
        <f>TL!G33</f>
        <v>3774920.1779320715</v>
      </c>
      <c r="D28" s="247">
        <f>TL!G45</f>
        <v>2000011.5115158991</v>
      </c>
      <c r="E28" s="247">
        <f>TL!G57</f>
        <v>2.4738255888223648E-9</v>
      </c>
      <c r="F28" s="247">
        <f>TL!G69</f>
        <v>2.7875685936659998E-9</v>
      </c>
      <c r="G28" s="247">
        <f>TL!G81</f>
        <v>3.1411020645526229E-9</v>
      </c>
      <c r="H28" s="247">
        <f>'[1]Term Loan'!J72+'[1]Term Loan'!S72</f>
        <v>0</v>
      </c>
    </row>
    <row r="29" spans="1:8" s="237" customFormat="1" ht="14.45" x14ac:dyDescent="0.35">
      <c r="A29" s="240" t="s">
        <v>259</v>
      </c>
      <c r="B29" s="247"/>
      <c r="C29" s="247"/>
      <c r="D29" s="247"/>
      <c r="E29" s="247"/>
      <c r="F29" s="247"/>
      <c r="G29" s="247"/>
      <c r="H29" s="247"/>
    </row>
    <row r="30" spans="1:8" s="237" customFormat="1" x14ac:dyDescent="0.25">
      <c r="A30" s="240"/>
      <c r="B30" s="250"/>
      <c r="C30" s="250"/>
      <c r="D30" s="250"/>
      <c r="E30" s="250"/>
      <c r="F30" s="250"/>
      <c r="G30" s="250"/>
      <c r="H30" s="250"/>
    </row>
    <row r="31" spans="1:8" x14ac:dyDescent="0.25">
      <c r="A31" s="246" t="s">
        <v>260</v>
      </c>
      <c r="B31" s="247">
        <f>SUM(B27:B29)</f>
        <v>6816375.7488236614</v>
      </c>
      <c r="C31" s="247">
        <f t="shared" ref="C31:H31" si="4">SUM(C27:C29)</f>
        <v>5755422.6722546015</v>
      </c>
      <c r="D31" s="247">
        <f t="shared" si="4"/>
        <v>4228519.9710392002</v>
      </c>
      <c r="E31" s="247">
        <f t="shared" si="4"/>
        <v>2496341.1866516438</v>
      </c>
      <c r="F31" s="247">
        <f t="shared" si="4"/>
        <v>2785364.2096505752</v>
      </c>
      <c r="G31" s="247">
        <f t="shared" si="4"/>
        <v>3095999.8303789725</v>
      </c>
      <c r="H31" s="247">
        <f t="shared" si="4"/>
        <v>3430715.6422891794</v>
      </c>
    </row>
    <row r="32" spans="1:8" x14ac:dyDescent="0.25">
      <c r="A32" s="234"/>
      <c r="B32" s="251"/>
      <c r="C32" s="251"/>
      <c r="D32" s="251"/>
      <c r="E32" s="251"/>
      <c r="F32" s="251"/>
      <c r="G32" s="251"/>
      <c r="H32" s="251"/>
    </row>
    <row r="33" spans="1:8" x14ac:dyDescent="0.25">
      <c r="A33" s="245" t="s">
        <v>261</v>
      </c>
      <c r="B33" s="244">
        <f>'Cost MOF'!E21</f>
        <v>1893603.8248310685</v>
      </c>
      <c r="C33" s="244">
        <f>B33</f>
        <v>1893603.8248310685</v>
      </c>
      <c r="D33" s="244">
        <f t="shared" ref="D33:H34" si="5">C33</f>
        <v>1893603.8248310685</v>
      </c>
      <c r="E33" s="244">
        <f t="shared" si="5"/>
        <v>1893603.8248310685</v>
      </c>
      <c r="F33" s="244">
        <f t="shared" si="5"/>
        <v>1893603.8248310685</v>
      </c>
      <c r="G33" s="244">
        <f t="shared" si="5"/>
        <v>1893603.8248310685</v>
      </c>
      <c r="H33" s="244">
        <f t="shared" si="5"/>
        <v>1893603.8248310685</v>
      </c>
    </row>
    <row r="34" spans="1:8" x14ac:dyDescent="0.25">
      <c r="A34" s="245" t="s">
        <v>496</v>
      </c>
      <c r="B34" s="244">
        <f>'Cost MOF'!E19</f>
        <v>10093560</v>
      </c>
      <c r="C34" s="244">
        <f>B34</f>
        <v>10093560</v>
      </c>
      <c r="D34" s="244">
        <f t="shared" si="5"/>
        <v>10093560</v>
      </c>
      <c r="E34" s="244">
        <f t="shared" si="5"/>
        <v>10093560</v>
      </c>
      <c r="F34" s="244">
        <f t="shared" si="5"/>
        <v>10093560</v>
      </c>
      <c r="G34" s="244">
        <f t="shared" si="5"/>
        <v>10093560</v>
      </c>
      <c r="H34" s="244">
        <f t="shared" si="5"/>
        <v>10093560</v>
      </c>
    </row>
    <row r="35" spans="1:8" x14ac:dyDescent="0.25">
      <c r="A35" s="240" t="s">
        <v>262</v>
      </c>
      <c r="B35" s="244"/>
      <c r="C35" s="244"/>
      <c r="D35" s="244"/>
      <c r="E35" s="244"/>
      <c r="F35" s="244"/>
      <c r="G35" s="244"/>
      <c r="H35" s="244"/>
    </row>
    <row r="36" spans="1:8" x14ac:dyDescent="0.25">
      <c r="A36" s="245" t="s">
        <v>263</v>
      </c>
      <c r="B36" s="244">
        <v>0</v>
      </c>
      <c r="C36" s="244">
        <f t="shared" ref="C36:H36" si="6">B39</f>
        <v>2070130.1588142994</v>
      </c>
      <c r="D36" s="244">
        <f t="shared" si="6"/>
        <v>3859763.6074903803</v>
      </c>
      <c r="E36" s="244">
        <f t="shared" si="6"/>
        <v>6220820.5141336676</v>
      </c>
      <c r="F36" s="244">
        <f t="shared" si="6"/>
        <v>9133011.3273805305</v>
      </c>
      <c r="G36" s="244">
        <f t="shared" si="6"/>
        <v>12569085.735801999</v>
      </c>
      <c r="H36" s="244">
        <f t="shared" si="6"/>
        <v>16550314.939932335</v>
      </c>
    </row>
    <row r="37" spans="1:8" x14ac:dyDescent="0.25">
      <c r="A37" s="245" t="s">
        <v>264</v>
      </c>
      <c r="B37" s="244">
        <f>PL!B48</f>
        <v>2070130.1588142994</v>
      </c>
      <c r="C37" s="244">
        <f>PL!C45</f>
        <v>2307165.9883796563</v>
      </c>
      <c r="D37" s="244">
        <f>PL!D45</f>
        <v>2937848.4037382016</v>
      </c>
      <c r="E37" s="244">
        <f>PL!E45</f>
        <v>3646652.9141814122</v>
      </c>
      <c r="F37" s="244">
        <f>PL!F45</f>
        <v>4347737.6369668208</v>
      </c>
      <c r="G37" s="244">
        <f>PL!G45</f>
        <v>5068163.6133720418</v>
      </c>
      <c r="H37" s="244">
        <f>PL!H45</f>
        <v>5778348.2425852418</v>
      </c>
    </row>
    <row r="38" spans="1:8" x14ac:dyDescent="0.25">
      <c r="A38" s="245" t="s">
        <v>265</v>
      </c>
      <c r="B38" s="244"/>
      <c r="C38" s="244">
        <f>+CF!D32</f>
        <v>517532.53970357485</v>
      </c>
      <c r="D38" s="244">
        <f>+CF!E32</f>
        <v>576791.49709491408</v>
      </c>
      <c r="E38" s="244">
        <f>+CF!F32</f>
        <v>734462.1009345504</v>
      </c>
      <c r="F38" s="244">
        <f>+CF!G32</f>
        <v>911663.22854535305</v>
      </c>
      <c r="G38" s="244">
        <f>+CF!H32</f>
        <v>1086934.4092417052</v>
      </c>
      <c r="H38" s="244">
        <f>+CF!I32</f>
        <v>1267040.9033430105</v>
      </c>
    </row>
    <row r="39" spans="1:8" x14ac:dyDescent="0.25">
      <c r="A39" s="245" t="s">
        <v>266</v>
      </c>
      <c r="B39" s="244">
        <f t="shared" ref="B39:H39" si="7">B36+B37-B38</f>
        <v>2070130.1588142994</v>
      </c>
      <c r="C39" s="244">
        <f>C36+C37-C38</f>
        <v>3859763.6074903803</v>
      </c>
      <c r="D39" s="244">
        <f t="shared" si="7"/>
        <v>6220820.5141336676</v>
      </c>
      <c r="E39" s="244">
        <f t="shared" si="7"/>
        <v>9133011.3273805305</v>
      </c>
      <c r="F39" s="244">
        <f t="shared" si="7"/>
        <v>12569085.735801999</v>
      </c>
      <c r="G39" s="244">
        <f t="shared" si="7"/>
        <v>16550314.939932335</v>
      </c>
      <c r="H39" s="244">
        <f t="shared" si="7"/>
        <v>21061622.279174566</v>
      </c>
    </row>
    <row r="40" spans="1:8" x14ac:dyDescent="0.25">
      <c r="A40" s="245"/>
      <c r="B40" s="249"/>
      <c r="C40" s="249"/>
      <c r="D40" s="249"/>
      <c r="E40" s="249"/>
      <c r="F40" s="249"/>
      <c r="G40" s="249"/>
      <c r="H40" s="249"/>
    </row>
    <row r="41" spans="1:8" x14ac:dyDescent="0.25">
      <c r="A41" s="252" t="s">
        <v>267</v>
      </c>
      <c r="B41" s="253">
        <f>B33+B39+B34</f>
        <v>14057293.983645368</v>
      </c>
      <c r="C41" s="253">
        <f t="shared" ref="C41:H41" si="8">C33+C39+C34</f>
        <v>15846927.432321448</v>
      </c>
      <c r="D41" s="253">
        <f t="shared" si="8"/>
        <v>18207984.338964738</v>
      </c>
      <c r="E41" s="253">
        <f t="shared" si="8"/>
        <v>21120175.152211599</v>
      </c>
      <c r="F41" s="253">
        <f t="shared" si="8"/>
        <v>24556249.560633067</v>
      </c>
      <c r="G41" s="253">
        <f t="shared" si="8"/>
        <v>28537478.764763404</v>
      </c>
      <c r="H41" s="253">
        <f t="shared" si="8"/>
        <v>33048786.104005635</v>
      </c>
    </row>
    <row r="42" spans="1:8" x14ac:dyDescent="0.25">
      <c r="A42" s="234"/>
      <c r="B42" s="244"/>
      <c r="C42" s="244"/>
      <c r="D42" s="244"/>
      <c r="E42" s="244"/>
      <c r="F42" s="244"/>
      <c r="G42" s="244"/>
      <c r="H42" s="244"/>
    </row>
    <row r="43" spans="1:8" x14ac:dyDescent="0.25">
      <c r="A43" s="246" t="s">
        <v>268</v>
      </c>
      <c r="B43" s="247">
        <f>B31+B41</f>
        <v>20873669.73246903</v>
      </c>
      <c r="C43" s="247">
        <f t="shared" ref="C43:H43" si="9">C31+C41</f>
        <v>21602350.104576051</v>
      </c>
      <c r="D43" s="247">
        <f t="shared" si="9"/>
        <v>22436504.310003936</v>
      </c>
      <c r="E43" s="247">
        <f t="shared" si="9"/>
        <v>23616516.338863242</v>
      </c>
      <c r="F43" s="247">
        <f t="shared" si="9"/>
        <v>27341613.770283643</v>
      </c>
      <c r="G43" s="247">
        <f t="shared" si="9"/>
        <v>31633478.595142376</v>
      </c>
      <c r="H43" s="247">
        <f t="shared" si="9"/>
        <v>36479501.746294811</v>
      </c>
    </row>
    <row r="44" spans="1:8" x14ac:dyDescent="0.25">
      <c r="A44" s="234"/>
      <c r="B44" s="254"/>
      <c r="C44" s="254"/>
      <c r="D44" s="254"/>
      <c r="E44" s="254"/>
      <c r="F44" s="254"/>
      <c r="G44" s="254"/>
      <c r="H44" s="254"/>
    </row>
    <row r="45" spans="1:8" x14ac:dyDescent="0.25">
      <c r="A45" s="255" t="s">
        <v>269</v>
      </c>
      <c r="B45" s="256"/>
      <c r="C45" s="256"/>
      <c r="D45" s="256"/>
      <c r="E45" s="256"/>
      <c r="F45" s="256"/>
      <c r="G45" s="256"/>
      <c r="H45" s="256"/>
    </row>
    <row r="46" spans="1:8" x14ac:dyDescent="0.25">
      <c r="A46" s="257" t="s">
        <v>270</v>
      </c>
      <c r="B46" s="258">
        <f>ROUND((B43-B20),0)</f>
        <v>0</v>
      </c>
      <c r="C46" s="258">
        <f t="shared" ref="C46:H46" si="10">ROUND((C43-C20),0)</f>
        <v>0</v>
      </c>
      <c r="D46" s="258">
        <f t="shared" si="10"/>
        <v>0</v>
      </c>
      <c r="E46" s="258">
        <f t="shared" si="10"/>
        <v>0</v>
      </c>
      <c r="F46" s="258">
        <f t="shared" si="10"/>
        <v>0</v>
      </c>
      <c r="G46" s="258">
        <f t="shared" si="10"/>
        <v>0</v>
      </c>
      <c r="H46" s="258">
        <f t="shared" si="10"/>
        <v>0</v>
      </c>
    </row>
    <row r="47" spans="1:8" x14ac:dyDescent="0.25">
      <c r="A47" s="257"/>
      <c r="B47" s="258"/>
      <c r="C47" s="258"/>
      <c r="D47" s="258"/>
      <c r="E47" s="258"/>
      <c r="F47" s="258"/>
      <c r="G47" s="258"/>
      <c r="H47" s="258"/>
    </row>
    <row r="48" spans="1:8" ht="15.75" thickBot="1" x14ac:dyDescent="0.3">
      <c r="A48" s="259"/>
      <c r="B48" s="260"/>
      <c r="C48" s="260"/>
      <c r="D48" s="260"/>
      <c r="E48" s="260"/>
      <c r="F48" s="260"/>
      <c r="G48" s="260"/>
      <c r="H48" s="260"/>
    </row>
    <row r="49" spans="1:9" x14ac:dyDescent="0.25">
      <c r="B49" s="261"/>
      <c r="C49" s="261"/>
      <c r="D49" s="261"/>
      <c r="E49" s="261"/>
      <c r="F49" s="261"/>
      <c r="G49" s="261"/>
      <c r="H49" s="261"/>
    </row>
    <row r="50" spans="1:9" ht="39.6" customHeight="1" x14ac:dyDescent="0.25">
      <c r="A50" s="587" t="s">
        <v>401</v>
      </c>
      <c r="B50" s="588"/>
      <c r="C50" s="588"/>
      <c r="D50" s="588"/>
      <c r="E50" s="588"/>
      <c r="F50" s="588"/>
      <c r="G50" s="588"/>
      <c r="H50" s="588"/>
      <c r="I50" s="588"/>
    </row>
  </sheetData>
  <mergeCells count="3">
    <mergeCell ref="A1:F1"/>
    <mergeCell ref="A2:H2"/>
    <mergeCell ref="A50:I50"/>
  </mergeCells>
  <conditionalFormatting sqref="B36:F38 B37:H37 C38:H38">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0866141732283472" right="0.70866141732283472" top="0.11811023622047245" bottom="0.15748031496062992" header="0.11811023622047245" footer="0.15748031496062992"/>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45" workbookViewId="0">
      <selection activeCell="A4" sqref="A4:I36"/>
    </sheetView>
  </sheetViews>
  <sheetFormatPr defaultColWidth="8.7109375" defaultRowHeight="15" x14ac:dyDescent="0.25"/>
  <cols>
    <col min="1" max="1" width="3.5703125" style="192" bestFit="1" customWidth="1"/>
    <col min="2" max="2" width="35.7109375" style="192" bestFit="1" customWidth="1"/>
    <col min="3" max="4" width="12.42578125" style="192" bestFit="1" customWidth="1"/>
    <col min="5" max="5" width="14.5703125" style="192" customWidth="1"/>
    <col min="6" max="6" width="14.7109375" style="192" customWidth="1"/>
    <col min="7" max="9" width="13.7109375" style="192" bestFit="1" customWidth="1"/>
    <col min="10" max="16384" width="8.7109375" style="192"/>
  </cols>
  <sheetData>
    <row r="1" spans="1:10" ht="14.45" x14ac:dyDescent="0.35">
      <c r="A1" s="570"/>
      <c r="B1" s="570"/>
      <c r="C1" s="570"/>
      <c r="D1" s="570"/>
      <c r="E1" s="570"/>
      <c r="F1" s="570"/>
      <c r="G1" s="570"/>
    </row>
    <row r="2" spans="1:10" ht="14.45" x14ac:dyDescent="0.35">
      <c r="A2" s="563" t="s">
        <v>546</v>
      </c>
      <c r="B2" s="563"/>
      <c r="C2" s="563"/>
      <c r="D2" s="563"/>
      <c r="E2" s="563"/>
      <c r="F2" s="563"/>
      <c r="G2" s="563"/>
      <c r="H2" s="563"/>
      <c r="I2" s="563"/>
      <c r="J2" s="372"/>
    </row>
    <row r="4" spans="1:10" ht="14.45" x14ac:dyDescent="0.35">
      <c r="A4" s="470" t="s">
        <v>227</v>
      </c>
      <c r="B4" s="470" t="s">
        <v>0</v>
      </c>
      <c r="C4" s="471" t="s">
        <v>2</v>
      </c>
      <c r="D4" s="471" t="s">
        <v>3</v>
      </c>
      <c r="E4" s="471" t="s">
        <v>4</v>
      </c>
      <c r="F4" s="471" t="s">
        <v>5</v>
      </c>
      <c r="G4" s="471" t="s">
        <v>6</v>
      </c>
      <c r="H4" s="471" t="s">
        <v>165</v>
      </c>
      <c r="I4" s="471" t="s">
        <v>164</v>
      </c>
    </row>
    <row r="5" spans="1:10" ht="14.45" x14ac:dyDescent="0.35">
      <c r="A5" s="472">
        <v>1</v>
      </c>
      <c r="B5" s="472" t="s">
        <v>7</v>
      </c>
      <c r="C5" s="473"/>
      <c r="D5" s="473"/>
      <c r="E5" s="473"/>
      <c r="F5" s="473"/>
      <c r="G5" s="473"/>
      <c r="H5" s="473"/>
      <c r="I5" s="473"/>
    </row>
    <row r="6" spans="1:10" ht="14.45" x14ac:dyDescent="0.35">
      <c r="A6" s="472"/>
      <c r="B6" s="474" t="s">
        <v>358</v>
      </c>
      <c r="C6" s="473">
        <f>PL!B11</f>
        <v>37995929.253941767</v>
      </c>
      <c r="D6" s="473">
        <f>PL!C11</f>
        <v>42806806.802623592</v>
      </c>
      <c r="E6" s="473">
        <f>PL!D11</f>
        <v>48137308.746362038</v>
      </c>
      <c r="F6" s="473">
        <f>PL!E11</f>
        <v>53893843.867467791</v>
      </c>
      <c r="G6" s="473">
        <f>PL!F11</f>
        <v>60105689.228818208</v>
      </c>
      <c r="H6" s="473">
        <f>PL!G11</f>
        <v>66777182.6038225</v>
      </c>
      <c r="I6" s="473">
        <f>PL!H11</f>
        <v>73965561.093255177</v>
      </c>
    </row>
    <row r="7" spans="1:10" ht="14.45" x14ac:dyDescent="0.35">
      <c r="A7" s="472">
        <v>2</v>
      </c>
      <c r="B7" s="472" t="s">
        <v>228</v>
      </c>
      <c r="C7" s="473">
        <f>'Cost MOF'!E21</f>
        <v>1893603.8248310685</v>
      </c>
      <c r="D7" s="473"/>
      <c r="E7" s="473"/>
      <c r="F7" s="473"/>
      <c r="G7" s="473"/>
      <c r="H7" s="473"/>
      <c r="I7" s="473"/>
    </row>
    <row r="8" spans="1:10" ht="14.45" x14ac:dyDescent="0.35">
      <c r="A8" s="472"/>
      <c r="B8" s="472" t="s">
        <v>288</v>
      </c>
      <c r="C8" s="473"/>
      <c r="D8" s="473"/>
      <c r="E8" s="473"/>
      <c r="F8" s="473"/>
      <c r="G8" s="473"/>
      <c r="H8" s="473"/>
      <c r="I8" s="473"/>
    </row>
    <row r="9" spans="1:10" ht="14.45" x14ac:dyDescent="0.35">
      <c r="A9" s="472">
        <v>3</v>
      </c>
      <c r="B9" s="472" t="str">
        <f>BS!A34</f>
        <v>Smart Grant -in-Aid</v>
      </c>
      <c r="C9" s="473">
        <f>'Cost MOF'!E19</f>
        <v>10093560</v>
      </c>
      <c r="D9" s="473"/>
      <c r="E9" s="473"/>
      <c r="F9" s="473"/>
      <c r="G9" s="473"/>
      <c r="H9" s="473"/>
      <c r="I9" s="473"/>
    </row>
    <row r="10" spans="1:10" ht="14.45" x14ac:dyDescent="0.35">
      <c r="A10" s="472">
        <v>4</v>
      </c>
      <c r="B10" s="472" t="s">
        <v>229</v>
      </c>
      <c r="C10" s="473">
        <f>'Cost MOF'!E20</f>
        <v>6069848</v>
      </c>
      <c r="D10" s="473"/>
      <c r="E10" s="473"/>
      <c r="F10" s="473"/>
      <c r="G10" s="473"/>
      <c r="H10" s="473"/>
      <c r="I10" s="473"/>
    </row>
    <row r="11" spans="1:10" ht="14.45" x14ac:dyDescent="0.35">
      <c r="A11" s="472">
        <v>5</v>
      </c>
      <c r="B11" s="472" t="s">
        <v>230</v>
      </c>
      <c r="C11" s="473">
        <f>BS!B24</f>
        <v>868421.47449321114</v>
      </c>
      <c r="D11" s="473">
        <f>BS!C24-BS!B24</f>
        <v>430461.57365476154</v>
      </c>
      <c r="E11" s="473">
        <f>BS!D24-BS!C24</f>
        <v>162782.78191174706</v>
      </c>
      <c r="F11" s="473">
        <f>BS!E24-BS!D24</f>
        <v>175855.61377537181</v>
      </c>
      <c r="G11" s="473">
        <f>BS!F24-BS!E24</f>
        <v>189829.24806157476</v>
      </c>
      <c r="H11" s="473">
        <f>BS!G24-BS!F24</f>
        <v>203730.92673286889</v>
      </c>
      <c r="I11" s="473">
        <f>BS!H24-BS!G24</f>
        <v>219574.55728931027</v>
      </c>
    </row>
    <row r="12" spans="1:10" ht="14.45" x14ac:dyDescent="0.35">
      <c r="A12" s="472">
        <v>6</v>
      </c>
      <c r="B12" s="472" t="s">
        <v>1304</v>
      </c>
      <c r="C12" s="473">
        <f>BS!B25</f>
        <v>597892.77547094028</v>
      </c>
      <c r="D12" s="473">
        <f>BS!C25-BS!B25</f>
        <v>83726.670703616459</v>
      </c>
      <c r="E12" s="473">
        <f>BS!D25-BS!C25</f>
        <v>85223.18328902463</v>
      </c>
      <c r="F12" s="473">
        <f>BS!E25-BS!D25</f>
        <v>91977.11335296859</v>
      </c>
      <c r="G12" s="473">
        <f>BS!F25-BS!E25</f>
        <v>99193.77493735624</v>
      </c>
      <c r="H12" s="473">
        <f>BS!G25-BS!F25</f>
        <v>106904.69399552781</v>
      </c>
      <c r="I12" s="473">
        <f>BS!H25-BS!G25</f>
        <v>115141.25462089968</v>
      </c>
    </row>
    <row r="13" spans="1:10" ht="14.45" x14ac:dyDescent="0.35">
      <c r="A13" s="472"/>
      <c r="B13" s="472" t="s">
        <v>231</v>
      </c>
      <c r="C13" s="475">
        <f>SUM(C6:C12)</f>
        <v>57519255.328736991</v>
      </c>
      <c r="D13" s="475">
        <f t="shared" ref="D13:I13" si="0">SUM(D6:D12)</f>
        <v>43320995.046981975</v>
      </c>
      <c r="E13" s="475">
        <f t="shared" si="0"/>
        <v>48385314.711562805</v>
      </c>
      <c r="F13" s="475">
        <f t="shared" si="0"/>
        <v>54161676.594596133</v>
      </c>
      <c r="G13" s="475">
        <f t="shared" si="0"/>
        <v>60394712.251817137</v>
      </c>
      <c r="H13" s="475">
        <f t="shared" si="0"/>
        <v>67087818.224550895</v>
      </c>
      <c r="I13" s="475">
        <f t="shared" si="0"/>
        <v>74300276.905165389</v>
      </c>
    </row>
    <row r="14" spans="1:10" ht="14.45" x14ac:dyDescent="0.35">
      <c r="A14" s="589" t="s">
        <v>232</v>
      </c>
      <c r="B14" s="589"/>
      <c r="C14" s="229"/>
      <c r="D14" s="229"/>
      <c r="E14" s="229"/>
      <c r="F14" s="229"/>
      <c r="G14" s="229"/>
      <c r="H14" s="229"/>
      <c r="I14" s="229"/>
    </row>
    <row r="15" spans="1:10" ht="14.45" x14ac:dyDescent="0.35">
      <c r="A15" s="472">
        <v>1</v>
      </c>
      <c r="B15" s="472" t="s">
        <v>233</v>
      </c>
      <c r="C15" s="229"/>
      <c r="D15" s="229"/>
      <c r="E15" s="229"/>
      <c r="F15" s="229"/>
      <c r="G15" s="229"/>
      <c r="H15" s="229"/>
      <c r="I15" s="229"/>
    </row>
    <row r="16" spans="1:10" ht="14.45" x14ac:dyDescent="0.35">
      <c r="A16" s="476" t="s">
        <v>234</v>
      </c>
      <c r="B16" s="229" t="str">
        <f>+'Cost MOF'!C5</f>
        <v>Land, Wareshouse and Processing Unit</v>
      </c>
      <c r="C16" s="477">
        <f>'Cost MOF'!D5</f>
        <v>7230000</v>
      </c>
      <c r="D16" s="477"/>
      <c r="E16" s="477"/>
      <c r="F16" s="477"/>
      <c r="G16" s="477"/>
      <c r="H16" s="477"/>
      <c r="I16" s="477"/>
    </row>
    <row r="17" spans="1:9" ht="14.45" x14ac:dyDescent="0.35">
      <c r="A17" s="476" t="s">
        <v>235</v>
      </c>
      <c r="B17" s="229" t="str">
        <f>+'Cost MOF'!C6</f>
        <v>Machinery and Equipment</v>
      </c>
      <c r="C17" s="477">
        <f>'Cost MOF'!D6</f>
        <v>8612700</v>
      </c>
      <c r="D17" s="477"/>
      <c r="E17" s="477"/>
      <c r="F17" s="477"/>
      <c r="G17" s="477"/>
      <c r="H17" s="477"/>
      <c r="I17" s="477"/>
    </row>
    <row r="18" spans="1:9" ht="14.45" x14ac:dyDescent="0.35">
      <c r="A18" s="476" t="s">
        <v>271</v>
      </c>
      <c r="B18" s="229" t="s">
        <v>328</v>
      </c>
      <c r="C18" s="477">
        <f>'Cost MOF'!D7</f>
        <v>300400</v>
      </c>
      <c r="D18" s="477"/>
      <c r="E18" s="477"/>
      <c r="F18" s="477"/>
      <c r="G18" s="477"/>
      <c r="H18" s="477"/>
      <c r="I18" s="477"/>
    </row>
    <row r="19" spans="1:9" ht="14.45" x14ac:dyDescent="0.35">
      <c r="A19" s="476" t="s">
        <v>273</v>
      </c>
      <c r="B19" s="229" t="s">
        <v>698</v>
      </c>
      <c r="C19" s="477">
        <f>'Cost MOF'!D8</f>
        <v>179500</v>
      </c>
      <c r="D19" s="477"/>
      <c r="E19" s="477"/>
      <c r="F19" s="477"/>
      <c r="G19" s="477"/>
      <c r="H19" s="477"/>
      <c r="I19" s="477"/>
    </row>
    <row r="20" spans="1:9" ht="14.45" x14ac:dyDescent="0.35">
      <c r="A20" s="476" t="s">
        <v>330</v>
      </c>
      <c r="B20" s="229" t="s">
        <v>272</v>
      </c>
      <c r="C20" s="477">
        <f>'Cost MOF'!D9</f>
        <v>944938</v>
      </c>
      <c r="D20" s="473"/>
      <c r="E20" s="473"/>
      <c r="F20" s="473"/>
      <c r="G20" s="473"/>
      <c r="H20" s="473"/>
      <c r="I20" s="473"/>
    </row>
    <row r="21" spans="1:9" ht="14.45" x14ac:dyDescent="0.35">
      <c r="A21" s="476" t="s">
        <v>331</v>
      </c>
      <c r="B21" s="229" t="s">
        <v>274</v>
      </c>
      <c r="C21" s="477">
        <f>'Cost MOF'!D10</f>
        <v>500000</v>
      </c>
      <c r="D21" s="473"/>
      <c r="E21" s="473"/>
      <c r="F21" s="473"/>
      <c r="G21" s="473"/>
      <c r="H21" s="473"/>
      <c r="I21" s="473"/>
    </row>
    <row r="22" spans="1:9" ht="14.45" x14ac:dyDescent="0.35">
      <c r="A22" s="472">
        <v>2</v>
      </c>
      <c r="B22" s="472" t="s">
        <v>236</v>
      </c>
      <c r="C22" s="229"/>
      <c r="D22" s="229"/>
      <c r="E22" s="229"/>
      <c r="F22" s="229"/>
      <c r="G22" s="229"/>
      <c r="H22" s="229"/>
      <c r="I22" s="229"/>
    </row>
    <row r="23" spans="1:9" ht="14.45" x14ac:dyDescent="0.35">
      <c r="A23" s="476" t="s">
        <v>234</v>
      </c>
      <c r="B23" s="229" t="s">
        <v>307</v>
      </c>
      <c r="C23" s="478">
        <f>PL!B20</f>
        <v>31175837.578127597</v>
      </c>
      <c r="D23" s="478">
        <f>PL!C20</f>
        <v>35541585.407673322</v>
      </c>
      <c r="E23" s="478">
        <f>PL!D20</f>
        <v>39985365.679172464</v>
      </c>
      <c r="F23" s="478">
        <f>PL!E20</f>
        <v>44781315.161148675</v>
      </c>
      <c r="G23" s="478">
        <f>PL!F20</f>
        <v>49953561.99716796</v>
      </c>
      <c r="H23" s="478">
        <f>PL!G20</f>
        <v>55527878.184077621</v>
      </c>
      <c r="I23" s="478">
        <f>PL!H20</f>
        <v>61531672.175024554</v>
      </c>
    </row>
    <row r="24" spans="1:9" ht="14.45" x14ac:dyDescent="0.35">
      <c r="A24" s="476" t="s">
        <v>235</v>
      </c>
      <c r="B24" s="229" t="s">
        <v>305</v>
      </c>
      <c r="C24" s="473">
        <f>PL!B30</f>
        <v>2638329.1445559999</v>
      </c>
      <c r="D24" s="473">
        <f>PL!C30</f>
        <v>2752732.9091119999</v>
      </c>
      <c r="E24" s="473">
        <f>PL!D30</f>
        <v>2873324.1736679999</v>
      </c>
      <c r="F24" s="473">
        <f>PL!E30</f>
        <v>3000412.3132240004</v>
      </c>
      <c r="G24" s="473">
        <f>PL!F30</f>
        <v>3134322.1715300004</v>
      </c>
      <c r="H24" s="473">
        <f>PL!G30</f>
        <v>3275394.8345235009</v>
      </c>
      <c r="I24" s="473">
        <f>PL!H30</f>
        <v>3423988.4424388758</v>
      </c>
    </row>
    <row r="25" spans="1:9" ht="14.45" x14ac:dyDescent="0.35">
      <c r="A25" s="479">
        <v>3</v>
      </c>
      <c r="B25" s="472" t="s">
        <v>494</v>
      </c>
      <c r="C25" s="473"/>
      <c r="D25" s="473"/>
      <c r="E25" s="473"/>
      <c r="F25" s="473"/>
      <c r="G25" s="473"/>
      <c r="H25" s="473"/>
      <c r="I25" s="473"/>
    </row>
    <row r="26" spans="1:9" ht="14.45" x14ac:dyDescent="0.35">
      <c r="A26" s="476"/>
      <c r="B26" s="229" t="s">
        <v>237</v>
      </c>
      <c r="C26" s="473">
        <f>SUM(TL!E10:E21)</f>
        <v>719786.50114049052</v>
      </c>
      <c r="D26" s="473">
        <f>SUM(TL!E22:E33)</f>
        <v>1575141.3209274388</v>
      </c>
      <c r="E26" s="473">
        <f>SUM(TL!E34:E45)</f>
        <v>1774908.6664161715</v>
      </c>
      <c r="F26" s="473">
        <f>SUM(TL!E46:E57)</f>
        <v>2000011.511515897</v>
      </c>
      <c r="G26" s="473">
        <f>SUM(TL!E58:E69)</f>
        <v>-3.1374300484363416E-10</v>
      </c>
      <c r="H26" s="473">
        <f>SUM(TL!E70:E81)</f>
        <v>-3.5353347088662281E-10</v>
      </c>
      <c r="I26" s="473">
        <f>SUM(TL!E82:E93)</f>
        <v>-3.983703639844786E-10</v>
      </c>
    </row>
    <row r="27" spans="1:9" x14ac:dyDescent="0.25">
      <c r="A27" s="476"/>
      <c r="B27" s="229" t="s">
        <v>238</v>
      </c>
      <c r="C27" s="473">
        <f>SUM(TL!D10:D21)</f>
        <v>710595.97970506968</v>
      </c>
      <c r="D27" s="473">
        <f>SUM(TL!D22:D33)</f>
        <v>557241.88076368207</v>
      </c>
      <c r="E27" s="473">
        <f>SUM(TL!D34:D45)</f>
        <v>357474.53527494898</v>
      </c>
      <c r="F27" s="473">
        <f>SUM(TL!D46:D57)</f>
        <v>132371.69017522383</v>
      </c>
      <c r="G27" s="473">
        <f>SUM(TL!D58:D69)</f>
        <v>3.1374300484363416E-10</v>
      </c>
      <c r="H27" s="473">
        <f>SUM(TL!D70:D81)</f>
        <v>3.5353347088662281E-10</v>
      </c>
      <c r="I27" s="473">
        <f>SUM(TL!D82:D93)</f>
        <v>3.983703639844786E-10</v>
      </c>
    </row>
    <row r="28" spans="1:9" x14ac:dyDescent="0.25">
      <c r="A28" s="476"/>
      <c r="B28" s="229" t="s">
        <v>239</v>
      </c>
      <c r="C28" s="473"/>
      <c r="D28" s="473"/>
      <c r="E28" s="473"/>
      <c r="F28" s="473"/>
      <c r="G28" s="473"/>
      <c r="H28" s="473"/>
      <c r="I28" s="473"/>
    </row>
    <row r="29" spans="1:9" x14ac:dyDescent="0.25">
      <c r="A29" s="476"/>
      <c r="B29" s="229" t="s">
        <v>240</v>
      </c>
      <c r="C29" s="480">
        <f>BS!B24*0.12</f>
        <v>104210.57693918534</v>
      </c>
      <c r="D29" s="480">
        <f>BS!C24*0.12</f>
        <v>155865.9657777567</v>
      </c>
      <c r="E29" s="480">
        <f>BS!D24*0.12</f>
        <v>175399.89960716636</v>
      </c>
      <c r="F29" s="480">
        <f>BS!E24*0.12</f>
        <v>196502.57326021098</v>
      </c>
      <c r="G29" s="480">
        <f>BS!F24*0.12</f>
        <v>219282.08302759996</v>
      </c>
      <c r="H29" s="480">
        <f>BS!G24*0.12</f>
        <v>243729.79423554422</v>
      </c>
      <c r="I29" s="480">
        <f>BS!H24*0.12</f>
        <v>270078.74111026147</v>
      </c>
    </row>
    <row r="30" spans="1:9" x14ac:dyDescent="0.25">
      <c r="A30" s="472">
        <v>4</v>
      </c>
      <c r="B30" s="472" t="s">
        <v>241</v>
      </c>
      <c r="C30" s="473">
        <f>PL!B44</f>
        <v>262202.27139961865</v>
      </c>
      <c r="D30" s="473">
        <f>PL!C44</f>
        <v>457591.10651717661</v>
      </c>
      <c r="E30" s="473">
        <f>PL!D44</f>
        <v>773272.51050126005</v>
      </c>
      <c r="F30" s="473">
        <f>PL!E44</f>
        <v>1101965.6710782663</v>
      </c>
      <c r="G30" s="473">
        <f>PL!F44</f>
        <v>1416161.7957258257</v>
      </c>
      <c r="H30" s="473">
        <f>PL!G44</f>
        <v>1727392.6332137941</v>
      </c>
      <c r="I30" s="473">
        <f>PL!H44</f>
        <v>2026849.9476962411</v>
      </c>
    </row>
    <row r="31" spans="1:9" x14ac:dyDescent="0.25">
      <c r="A31" s="472">
        <v>5</v>
      </c>
      <c r="B31" s="472" t="s">
        <v>1305</v>
      </c>
      <c r="C31" s="473">
        <f>BS!B9+BS!B10</f>
        <v>1755788.0747952219</v>
      </c>
      <c r="D31" s="473">
        <f>BS!C9+BS!C10-BS!B9-BS!B10</f>
        <v>224714.41952730768</v>
      </c>
      <c r="E31" s="473">
        <f>BS!D9+BS!D10-BS!C9-BS!C10</f>
        <v>248005.96520077146</v>
      </c>
      <c r="F31" s="473">
        <f>BS!E9+BS!E10-BS!D9-BS!D10</f>
        <v>267832.72712834057</v>
      </c>
      <c r="G31" s="473">
        <f>BS!F9+BS!F10-BS!E9-BS!E10</f>
        <v>289023.02299893065</v>
      </c>
      <c r="H31" s="473">
        <f>BS!G9+BS!G10-BS!F9-BS!F10</f>
        <v>310635.62072839669</v>
      </c>
      <c r="I31" s="473">
        <f>BS!H9+BS!H10-BS!G9-BS!G10</f>
        <v>334715.81191020971</v>
      </c>
    </row>
    <row r="32" spans="1:9" ht="17.25" customHeight="1" x14ac:dyDescent="0.25">
      <c r="A32" s="472">
        <v>6</v>
      </c>
      <c r="B32" s="472" t="s">
        <v>1195</v>
      </c>
      <c r="C32" s="473">
        <f>+PL!B47</f>
        <v>0</v>
      </c>
      <c r="D32" s="473">
        <f>+PL!C47</f>
        <v>517532.53970357485</v>
      </c>
      <c r="E32" s="473">
        <f>+PL!D47</f>
        <v>576791.49709491408</v>
      </c>
      <c r="F32" s="473">
        <f>+PL!E47</f>
        <v>734462.1009345504</v>
      </c>
      <c r="G32" s="473">
        <f>+PL!F47</f>
        <v>911663.22854535305</v>
      </c>
      <c r="H32" s="473">
        <f>+PL!G47</f>
        <v>1086934.4092417052</v>
      </c>
      <c r="I32" s="473">
        <f>+PL!H47</f>
        <v>1267040.9033430105</v>
      </c>
    </row>
    <row r="33" spans="1:10" x14ac:dyDescent="0.25">
      <c r="A33" s="472"/>
      <c r="B33" s="472" t="s">
        <v>242</v>
      </c>
      <c r="C33" s="481">
        <f>SUM(C16:C32)</f>
        <v>55134288.126663186</v>
      </c>
      <c r="D33" s="481">
        <f>SUM(D16:D32)</f>
        <v>41782405.550002255</v>
      </c>
      <c r="E33" s="481">
        <f t="shared" ref="E33:I33" si="1">SUM(E16:E32)</f>
        <v>46764542.926935695</v>
      </c>
      <c r="F33" s="481">
        <f t="shared" si="1"/>
        <v>52214873.748465165</v>
      </c>
      <c r="G33" s="481">
        <f t="shared" si="1"/>
        <v>55924014.298995666</v>
      </c>
      <c r="H33" s="481">
        <f t="shared" si="1"/>
        <v>62171965.47602056</v>
      </c>
      <c r="I33" s="481">
        <f t="shared" si="1"/>
        <v>68854346.021523148</v>
      </c>
    </row>
    <row r="34" spans="1:10" x14ac:dyDescent="0.25">
      <c r="A34" s="472"/>
      <c r="B34" s="472" t="s">
        <v>243</v>
      </c>
      <c r="C34" s="481">
        <f t="shared" ref="C34:I34" si="2">C13-C33</f>
        <v>2384967.202073805</v>
      </c>
      <c r="D34" s="481">
        <f t="shared" si="2"/>
        <v>1538589.4969797209</v>
      </c>
      <c r="E34" s="481">
        <f t="shared" si="2"/>
        <v>1620771.7846271098</v>
      </c>
      <c r="F34" s="481">
        <f t="shared" si="2"/>
        <v>1946802.8461309671</v>
      </c>
      <c r="G34" s="481">
        <f t="shared" si="2"/>
        <v>4470697.9528214708</v>
      </c>
      <c r="H34" s="481">
        <f t="shared" si="2"/>
        <v>4915852.7485303357</v>
      </c>
      <c r="I34" s="481">
        <f t="shared" si="2"/>
        <v>5445930.8836422414</v>
      </c>
    </row>
    <row r="35" spans="1:10" x14ac:dyDescent="0.25">
      <c r="A35" s="479"/>
      <c r="B35" s="229" t="s">
        <v>244</v>
      </c>
      <c r="C35" s="229"/>
      <c r="D35" s="482">
        <f t="shared" ref="D35:I35" si="3">C36</f>
        <v>2384967.202073805</v>
      </c>
      <c r="E35" s="482">
        <f t="shared" si="3"/>
        <v>3923556.6990535259</v>
      </c>
      <c r="F35" s="482">
        <f t="shared" si="3"/>
        <v>5544328.4836806357</v>
      </c>
      <c r="G35" s="482">
        <f t="shared" si="3"/>
        <v>7491131.3298116028</v>
      </c>
      <c r="H35" s="482">
        <f t="shared" si="3"/>
        <v>11961829.282633074</v>
      </c>
      <c r="I35" s="482">
        <f t="shared" si="3"/>
        <v>16877682.031163409</v>
      </c>
    </row>
    <row r="36" spans="1:10" x14ac:dyDescent="0.25">
      <c r="A36" s="472"/>
      <c r="B36" s="483" t="s">
        <v>245</v>
      </c>
      <c r="C36" s="481">
        <f t="shared" ref="C36:I36" si="4">C34+C35</f>
        <v>2384967.202073805</v>
      </c>
      <c r="D36" s="481">
        <f t="shared" si="4"/>
        <v>3923556.6990535259</v>
      </c>
      <c r="E36" s="481">
        <f t="shared" si="4"/>
        <v>5544328.4836806357</v>
      </c>
      <c r="F36" s="481">
        <f t="shared" si="4"/>
        <v>7491131.3298116028</v>
      </c>
      <c r="G36" s="481">
        <f t="shared" si="4"/>
        <v>11961829.282633074</v>
      </c>
      <c r="H36" s="481">
        <f t="shared" si="4"/>
        <v>16877682.031163409</v>
      </c>
      <c r="I36" s="481">
        <f t="shared" si="4"/>
        <v>22323612.914805651</v>
      </c>
    </row>
    <row r="38" spans="1:10" ht="39.950000000000003" customHeight="1" x14ac:dyDescent="0.25">
      <c r="A38" s="590" t="s">
        <v>402</v>
      </c>
      <c r="B38" s="590"/>
      <c r="C38" s="590"/>
      <c r="D38" s="590"/>
      <c r="E38" s="590"/>
      <c r="F38" s="590"/>
      <c r="G38" s="590"/>
      <c r="H38" s="590"/>
      <c r="I38" s="590"/>
      <c r="J38" s="590"/>
    </row>
    <row r="40" spans="1:10" x14ac:dyDescent="0.25">
      <c r="C40" s="310"/>
    </row>
    <row r="41" spans="1:10" x14ac:dyDescent="0.25">
      <c r="C41" s="310"/>
    </row>
    <row r="42" spans="1:10" x14ac:dyDescent="0.25">
      <c r="C42" s="310"/>
    </row>
    <row r="43" spans="1:10" x14ac:dyDescent="0.25">
      <c r="C43" s="310"/>
    </row>
    <row r="44" spans="1:10" x14ac:dyDescent="0.25">
      <c r="C44" s="310"/>
    </row>
  </sheetData>
  <mergeCells count="4">
    <mergeCell ref="A1:G1"/>
    <mergeCell ref="A14:B14"/>
    <mergeCell ref="A2:I2"/>
    <mergeCell ref="A38:J38"/>
  </mergeCells>
  <pageMargins left="0.70866141732283472" right="0.70866141732283472" top="0.11" bottom="0.18" header="0.11" footer="0.1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19</vt:i4>
      </vt:variant>
    </vt:vector>
  </HeadingPairs>
  <TitlesOfParts>
    <vt:vector size="56" baseType="lpstr">
      <vt:lpstr>Note</vt:lpstr>
      <vt:lpstr>Cost MOF</vt:lpstr>
      <vt:lpstr>Capex</vt:lpstr>
      <vt:lpstr>Other</vt:lpstr>
      <vt:lpstr>TL</vt:lpstr>
      <vt:lpstr>Stock WC</vt:lpstr>
      <vt:lpstr>PL</vt:lpstr>
      <vt:lpstr>BS</vt:lpstr>
      <vt:lpstr>CF</vt:lpstr>
      <vt:lpstr>FI</vt:lpstr>
      <vt:lpstr>Grain</vt:lpstr>
      <vt:lpstr>F&amp;V </vt:lpstr>
      <vt:lpstr>F1</vt:lpstr>
      <vt:lpstr>F2</vt:lpstr>
      <vt:lpstr>F3</vt:lpstr>
      <vt:lpstr>F4</vt:lpstr>
      <vt:lpstr>F5</vt:lpstr>
      <vt:lpstr>F6</vt:lpstr>
      <vt:lpstr>1</vt:lpstr>
      <vt:lpstr>2</vt:lpstr>
      <vt:lpstr>3</vt:lpstr>
      <vt:lpstr>4</vt:lpstr>
      <vt:lpstr>Prod aggr</vt:lpstr>
      <vt:lpstr>6</vt:lpstr>
      <vt:lpstr>7</vt:lpstr>
      <vt:lpstr>8</vt:lpstr>
      <vt:lpstr>9</vt:lpstr>
      <vt:lpstr>10</vt:lpstr>
      <vt:lpstr>11</vt:lpstr>
      <vt:lpstr>12</vt:lpstr>
      <vt:lpstr>13</vt:lpstr>
      <vt:lpstr>14</vt:lpstr>
      <vt:lpstr>Sheet1</vt:lpstr>
      <vt:lpstr>14 (2)</vt:lpstr>
      <vt:lpstr>14 (3)</vt:lpstr>
      <vt:lpstr>15</vt:lpstr>
      <vt:lpstr>exp per kg</vt:lpstr>
      <vt:lpstr>'1'!_Toc71708223</vt:lpstr>
      <vt:lpstr>'9'!_Toc71708227</vt:lpstr>
      <vt:lpstr>BS!Print_Area</vt:lpstr>
      <vt:lpstr>Capex!Print_Area</vt:lpstr>
      <vt:lpstr>CF!Print_Area</vt:lpstr>
      <vt:lpstr>'Cost MOF'!Print_Area</vt:lpstr>
      <vt:lpstr>'F&amp;V '!Print_Area</vt:lpstr>
      <vt:lpstr>'F1'!Print_Area</vt:lpstr>
      <vt:lpstr>'F2'!Print_Area</vt:lpstr>
      <vt:lpstr>'F3'!Print_Area</vt:lpstr>
      <vt:lpstr>'F4'!Print_Area</vt:lpstr>
      <vt:lpstr>'F5'!Print_Area</vt:lpstr>
      <vt:lpstr>'F6'!Print_Area</vt:lpstr>
      <vt:lpstr>FI!Print_Area</vt:lpstr>
      <vt:lpstr>Grain!Print_Area</vt:lpstr>
      <vt:lpstr>Other!Print_Area</vt:lpstr>
      <vt:lpstr>PL!Print_Area</vt:lpstr>
      <vt:lpstr>'Stock WC'!Print_Area</vt:lpstr>
      <vt:lpstr>TL!Print_Area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2022-08-08T13:37:13Z</dcterms:modified>
</cp:coreProperties>
</file>